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lessiosbarra/Desktop/Lavoro/AssoEGE/Materiale da inviare/"/>
    </mc:Choice>
  </mc:AlternateContent>
  <xr:revisionPtr revIDLastSave="0" documentId="13_ncr:1_{C326B57E-C1F9-2B44-A8F4-AE9BA1831D50}" xr6:coauthVersionLast="36" xr6:coauthVersionMax="46" xr10:uidLastSave="{00000000-0000-0000-0000-000000000000}"/>
  <bookViews>
    <workbookView xWindow="0" yWindow="0" windowWidth="28800" windowHeight="18000" xr2:uid="{00000000-000D-0000-FFFF-FFFF00000000}"/>
  </bookViews>
  <sheets>
    <sheet name="Tabelle Risorse-Impieghi" sheetId="1" r:id="rId1"/>
    <sheet name="prelievi energia elettrica" sheetId="4" r:id="rId2"/>
    <sheet name="calore da ambiente" sheetId="5" r:id="rId3"/>
    <sheet name="carburanti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D8" i="5" l="1"/>
  <c r="G44" i="1"/>
  <c r="G49" i="1" s="1"/>
  <c r="D45" i="1"/>
  <c r="E45" i="1"/>
  <c r="H45" i="1"/>
  <c r="I45" i="1"/>
  <c r="B4" i="6" l="1"/>
  <c r="B9" i="6"/>
  <c r="B10" i="6"/>
  <c r="B11" i="6"/>
  <c r="D5" i="5"/>
  <c r="D6" i="5"/>
  <c r="E6" i="5" s="1"/>
  <c r="D7" i="5"/>
  <c r="E7" i="5" s="1"/>
  <c r="E8" i="5"/>
  <c r="D9" i="5"/>
  <c r="E9" i="5" s="1"/>
  <c r="D10" i="5"/>
  <c r="E10" i="5" s="1"/>
  <c r="B11" i="5"/>
  <c r="E5" i="4"/>
  <c r="F5" i="4" s="1"/>
  <c r="E6" i="4"/>
  <c r="F6" i="4"/>
  <c r="E7" i="4"/>
  <c r="F7" i="4" s="1"/>
  <c r="E8" i="4"/>
  <c r="F8" i="4"/>
  <c r="E9" i="4"/>
  <c r="F9" i="4" s="1"/>
  <c r="E10" i="4"/>
  <c r="F10" i="4"/>
  <c r="E11" i="4"/>
  <c r="F11" i="4" s="1"/>
  <c r="E12" i="4"/>
  <c r="F12" i="4"/>
  <c r="E13" i="4"/>
  <c r="F13" i="4" s="1"/>
  <c r="E14" i="4"/>
  <c r="F14" i="4"/>
  <c r="E15" i="4"/>
  <c r="F15" i="4" s="1"/>
  <c r="E16" i="4"/>
  <c r="F16" i="4"/>
  <c r="B17" i="4"/>
  <c r="B18" i="4" s="1"/>
  <c r="E5" i="5" l="1"/>
  <c r="D11" i="5"/>
  <c r="E18" i="4"/>
  <c r="F18" i="4" s="1"/>
  <c r="F19" i="4" s="1"/>
  <c r="E19" i="4" s="1"/>
  <c r="D19" i="4" s="1"/>
  <c r="B19" i="4"/>
  <c r="E11" i="5"/>
  <c r="J33" i="1"/>
  <c r="K33" i="1" s="1"/>
  <c r="H22" i="1"/>
  <c r="I22" i="1"/>
  <c r="E22" i="1"/>
  <c r="F22" i="1"/>
  <c r="D22" i="1"/>
  <c r="G71" i="1" l="1"/>
  <c r="G70" i="1"/>
  <c r="G68" i="1"/>
  <c r="G67" i="1"/>
  <c r="G43" i="1"/>
  <c r="G48" i="1" s="1"/>
  <c r="J48" i="1" s="1"/>
  <c r="F45" i="1"/>
  <c r="J44" i="1" l="1"/>
  <c r="G20" i="1"/>
  <c r="J20" i="1" s="1"/>
  <c r="G45" i="1"/>
  <c r="G19" i="1"/>
  <c r="J18" i="1"/>
  <c r="J19" i="1" l="1"/>
  <c r="G22" i="1"/>
  <c r="J80" i="1" l="1"/>
  <c r="J66" i="1"/>
  <c r="J67" i="1"/>
  <c r="J68" i="1"/>
  <c r="J69" i="1"/>
  <c r="J70" i="1"/>
  <c r="F16" i="1"/>
  <c r="F30" i="1" l="1"/>
  <c r="K47" i="1" l="1"/>
  <c r="K42" i="1"/>
  <c r="K36" i="1"/>
  <c r="K31" i="1"/>
  <c r="K26" i="1"/>
  <c r="K17" i="1"/>
  <c r="J39" i="1"/>
  <c r="K39" i="1" s="1"/>
  <c r="J37" i="1"/>
  <c r="K37" i="1" s="1"/>
  <c r="J35" i="1"/>
  <c r="K35" i="1" s="1"/>
  <c r="J32" i="1"/>
  <c r="J30" i="1"/>
  <c r="K27" i="1"/>
  <c r="J16" i="1"/>
  <c r="J14" i="1"/>
  <c r="J13" i="1"/>
  <c r="J12" i="1"/>
  <c r="I15" i="1"/>
  <c r="I25" i="1"/>
  <c r="I29" i="1"/>
  <c r="I34" i="1"/>
  <c r="I38" i="1"/>
  <c r="I50" i="1"/>
  <c r="I53" i="1"/>
  <c r="I76" i="1"/>
  <c r="H76" i="1"/>
  <c r="D76" i="1"/>
  <c r="F76" i="1"/>
  <c r="G76" i="1"/>
  <c r="K21" i="1" l="1"/>
  <c r="J22" i="1"/>
  <c r="I24" i="1"/>
  <c r="I40" i="1" s="1"/>
  <c r="I52" i="1" s="1"/>
  <c r="K85" i="1"/>
  <c r="K77" i="1"/>
  <c r="K65" i="1"/>
  <c r="J73" i="1"/>
  <c r="I84" i="1" l="1"/>
  <c r="H84" i="1"/>
  <c r="G84" i="1"/>
  <c r="D84" i="1"/>
  <c r="G15" i="1" l="1"/>
  <c r="G23" i="1"/>
  <c r="J23" i="1" s="1"/>
  <c r="G29" i="1"/>
  <c r="G34" i="1"/>
  <c r="G38" i="1"/>
  <c r="H72" i="1"/>
  <c r="G25" i="1" l="1"/>
  <c r="G41" i="1" s="1"/>
  <c r="G24" i="1"/>
  <c r="G40" i="1" s="1"/>
  <c r="J82" i="1"/>
  <c r="I72" i="1"/>
  <c r="G72" i="1"/>
  <c r="F72" i="1"/>
  <c r="D72" i="1"/>
  <c r="H53" i="1"/>
  <c r="E50" i="1"/>
  <c r="D50" i="1"/>
  <c r="H38" i="1"/>
  <c r="F38" i="1"/>
  <c r="E38" i="1"/>
  <c r="D38" i="1"/>
  <c r="H34" i="1"/>
  <c r="F34" i="1"/>
  <c r="E34" i="1"/>
  <c r="D34" i="1"/>
  <c r="H29" i="1"/>
  <c r="F29" i="1"/>
  <c r="E29" i="1"/>
  <c r="D29" i="1"/>
  <c r="H25" i="1"/>
  <c r="D25" i="1"/>
  <c r="H15" i="1"/>
  <c r="F15" i="1"/>
  <c r="E15" i="1"/>
  <c r="D15" i="1"/>
  <c r="I86" i="1" l="1"/>
  <c r="I87" i="1" s="1"/>
  <c r="J38" i="1"/>
  <c r="K38" i="1" s="1"/>
  <c r="J43" i="1"/>
  <c r="J45" i="1" s="1"/>
  <c r="E25" i="1"/>
  <c r="E41" i="1" s="1"/>
  <c r="J74" i="1"/>
  <c r="J78" i="1"/>
  <c r="H40" i="1"/>
  <c r="J75" i="1"/>
  <c r="J79" i="1"/>
  <c r="J29" i="1"/>
  <c r="J71" i="1"/>
  <c r="D24" i="1"/>
  <c r="D40" i="1" s="1"/>
  <c r="D52" i="1" s="1"/>
  <c r="D86" i="1" s="1"/>
  <c r="E24" i="1"/>
  <c r="E40" i="1" s="1"/>
  <c r="E52" i="1" s="1"/>
  <c r="F24" i="1"/>
  <c r="F40" i="1" s="1"/>
  <c r="F83" i="1" s="1"/>
  <c r="F50" i="1"/>
  <c r="F25" i="1"/>
  <c r="H50" i="1"/>
  <c r="D87" i="1" l="1"/>
  <c r="G46" i="1"/>
  <c r="F41" i="1"/>
  <c r="J40" i="1"/>
  <c r="E46" i="1"/>
  <c r="J76" i="1"/>
  <c r="H52" i="1"/>
  <c r="H86" i="1" s="1"/>
  <c r="H87" i="1" s="1"/>
  <c r="J72" i="1"/>
  <c r="J34" i="1"/>
  <c r="F52" i="1"/>
  <c r="J15" i="1"/>
  <c r="J25" i="1"/>
  <c r="F46" i="1" l="1"/>
  <c r="F53" i="1" s="1"/>
  <c r="J49" i="1"/>
  <c r="J50" i="1" s="1"/>
  <c r="J52" i="1" s="1"/>
  <c r="G50" i="1"/>
  <c r="J46" i="1"/>
  <c r="E53" i="1"/>
  <c r="J41" i="1"/>
  <c r="J24" i="1"/>
  <c r="K48" i="1" s="1"/>
  <c r="G51" i="1" l="1"/>
  <c r="J51" i="1" s="1"/>
  <c r="K51" i="1" s="1"/>
  <c r="G52" i="1"/>
  <c r="G86" i="1" s="1"/>
  <c r="G87" i="1" s="1"/>
  <c r="K44" i="1"/>
  <c r="K20" i="1"/>
  <c r="K13" i="1"/>
  <c r="K14" i="1"/>
  <c r="K18" i="1"/>
  <c r="K19" i="1"/>
  <c r="G53" i="1"/>
  <c r="J53" i="1" s="1"/>
  <c r="K53" i="1" s="1"/>
  <c r="F84" i="1"/>
  <c r="F86" i="1" s="1"/>
  <c r="J83" i="1"/>
  <c r="J84" i="1" s="1"/>
  <c r="K32" i="1"/>
  <c r="K34" i="1"/>
  <c r="K16" i="1"/>
  <c r="K30" i="1"/>
  <c r="K25" i="1"/>
  <c r="K29" i="1"/>
  <c r="K49" i="1"/>
  <c r="K12" i="1"/>
  <c r="K24" i="1"/>
  <c r="K50" i="1"/>
  <c r="K15" i="1"/>
  <c r="K28" i="1"/>
  <c r="K23" i="1"/>
  <c r="K46" i="1"/>
  <c r="K41" i="1"/>
  <c r="K40" i="1"/>
  <c r="K43" i="1"/>
  <c r="K45" i="1"/>
  <c r="K73" i="1"/>
  <c r="K22" i="1" l="1"/>
  <c r="F87" i="1"/>
  <c r="J87" i="1" s="1"/>
  <c r="J86" i="1"/>
  <c r="K52" i="1"/>
  <c r="K86" i="1" l="1"/>
  <c r="K83" i="1"/>
  <c r="K71" i="1"/>
  <c r="K67" i="1"/>
  <c r="K70" i="1"/>
  <c r="K68" i="1"/>
  <c r="K69" i="1"/>
  <c r="K84" i="1"/>
  <c r="K75" i="1"/>
  <c r="K74" i="1"/>
  <c r="K82" i="1"/>
  <c r="K80" i="1"/>
  <c r="K87" i="1"/>
  <c r="K72" i="1"/>
  <c r="K76" i="1"/>
  <c r="K78" i="1"/>
  <c r="K66" i="1"/>
  <c r="K79" i="1"/>
</calcChain>
</file>

<file path=xl/sharedStrings.xml><?xml version="1.0" encoding="utf-8"?>
<sst xmlns="http://schemas.openxmlformats.org/spreadsheetml/2006/main" count="252" uniqueCount="206">
  <si>
    <t xml:space="preserve">Tabella delle Risorse </t>
  </si>
  <si>
    <t xml:space="preserve">            Tabella delle Risorse</t>
  </si>
  <si>
    <t>Gas Naturale</t>
  </si>
  <si>
    <t>Biogas</t>
  </si>
  <si>
    <t>Energia Elettrica</t>
  </si>
  <si>
    <t>Energia Termica</t>
  </si>
  <si>
    <t>Vapore</t>
  </si>
  <si>
    <t>Gasolio</t>
  </si>
  <si>
    <t>Totale</t>
  </si>
  <si>
    <r>
      <t>sm</t>
    </r>
    <r>
      <rPr>
        <vertAlign val="superscript"/>
        <sz val="10"/>
        <rFont val="Arial"/>
        <family val="2"/>
      </rPr>
      <t>3</t>
    </r>
  </si>
  <si>
    <r>
      <t>MWh</t>
    </r>
    <r>
      <rPr>
        <vertAlign val="subscript"/>
        <sz val="10"/>
        <color indexed="8"/>
        <rFont val="Arial"/>
        <family val="2"/>
      </rPr>
      <t>e</t>
    </r>
  </si>
  <si>
    <r>
      <t>MWh</t>
    </r>
    <r>
      <rPr>
        <vertAlign val="subscript"/>
        <sz val="10"/>
        <rFont val="Arial"/>
        <family val="2"/>
      </rPr>
      <t>t</t>
    </r>
  </si>
  <si>
    <t>t</t>
  </si>
  <si>
    <t>litri</t>
  </si>
  <si>
    <t>MWh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</si>
  <si>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</si>
  <si>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</si>
  <si>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</si>
  <si>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</si>
  <si>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</si>
  <si>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</si>
  <si>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</si>
  <si>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</si>
  <si>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</si>
  <si>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</si>
  <si>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A</t>
  </si>
  <si>
    <t>Approvvigionamenti  energetici lordi</t>
  </si>
  <si>
    <t>A.1</t>
  </si>
  <si>
    <t>Da utility pubbliche</t>
  </si>
  <si>
    <t>A.2</t>
  </si>
  <si>
    <t>A.3</t>
  </si>
  <si>
    <t>Fornitura in batch</t>
  </si>
  <si>
    <t>Totale approvvigionamenti  energetici lordi</t>
  </si>
  <si>
    <t>Di cui rinnovabili</t>
  </si>
  <si>
    <t>B</t>
  </si>
  <si>
    <t>Produzione di energia nel sistema</t>
  </si>
  <si>
    <t>B.1</t>
  </si>
  <si>
    <t>B.2</t>
  </si>
  <si>
    <t>B.3</t>
  </si>
  <si>
    <t>Impianto fotovoltaico</t>
  </si>
  <si>
    <t>Totale produzione di energia nel sistema</t>
  </si>
  <si>
    <t>ST1: Totale di energia disp. nel sistema</t>
  </si>
  <si>
    <t>ST1= A+B                                       Di cui rinnovabili</t>
  </si>
  <si>
    <t>C</t>
  </si>
  <si>
    <t>Vendite di energia</t>
  </si>
  <si>
    <t>C.1</t>
  </si>
  <si>
    <t>C.2</t>
  </si>
  <si>
    <t>Totale vendite di energia</t>
  </si>
  <si>
    <t>D</t>
  </si>
  <si>
    <t>Variazioni scorte</t>
  </si>
  <si>
    <t>D.1</t>
  </si>
  <si>
    <t>Scorte di gasolio**</t>
  </si>
  <si>
    <t>Totale variazioni scorte</t>
  </si>
  <si>
    <t>E</t>
  </si>
  <si>
    <t xml:space="preserve">Uso non energetico </t>
  </si>
  <si>
    <t>E.1</t>
  </si>
  <si>
    <t>Totale uso non energetico</t>
  </si>
  <si>
    <t xml:space="preserve">ST2: Totale energia per trasformazioni ed usi finali </t>
  </si>
  <si>
    <t>ST2 = A+B-C-D-E                            Di cui rinnovabili</t>
  </si>
  <si>
    <t>F</t>
  </si>
  <si>
    <t>Energia per i processi di trasformazione</t>
  </si>
  <si>
    <t>F.1</t>
  </si>
  <si>
    <t>F.2</t>
  </si>
  <si>
    <t>Totale Energia per i processi di trasformazione</t>
  </si>
  <si>
    <t>G</t>
  </si>
  <si>
    <t>Energia dai processi di trasformazione</t>
  </si>
  <si>
    <t>G.1</t>
  </si>
  <si>
    <t>Totale Energia dai processi di trasformazione</t>
  </si>
  <si>
    <t>Energia disponibile per gli usi finali</t>
  </si>
  <si>
    <t>Tabella degli Impieghi</t>
  </si>
  <si>
    <t>IMPIEGO DI ENERGIA FINALE</t>
  </si>
  <si>
    <t xml:space="preserve">                Tabella degli Impieghi</t>
  </si>
  <si>
    <t>(11)</t>
  </si>
  <si>
    <t>(12)</t>
  </si>
  <si>
    <t>(13)</t>
  </si>
  <si>
    <t>(14)</t>
  </si>
  <si>
    <t>(15)</t>
  </si>
  <si>
    <t>(16)</t>
  </si>
  <si>
    <t>(17)</t>
  </si>
  <si>
    <t>(18)</t>
  </si>
  <si>
    <t xml:space="preserve">K </t>
  </si>
  <si>
    <t>K.1</t>
  </si>
  <si>
    <t>K.2</t>
  </si>
  <si>
    <t>Totale Funzionamento degli edifici</t>
  </si>
  <si>
    <t>L</t>
  </si>
  <si>
    <t>L.1</t>
  </si>
  <si>
    <t>L.2</t>
  </si>
  <si>
    <t>Totale processo di produzione 1</t>
  </si>
  <si>
    <t>M</t>
  </si>
  <si>
    <t>Infrastruttura sito</t>
  </si>
  <si>
    <t>M.1</t>
  </si>
  <si>
    <t>M.2</t>
  </si>
  <si>
    <t>M.3</t>
  </si>
  <si>
    <t>M.4</t>
  </si>
  <si>
    <t>Altro</t>
  </si>
  <si>
    <t>Perdite di distribuzione</t>
  </si>
  <si>
    <t>Totale infrastruttura sito</t>
  </si>
  <si>
    <t>R</t>
  </si>
  <si>
    <t>Saldo a bilancio</t>
  </si>
  <si>
    <t>R.1</t>
  </si>
  <si>
    <t>Differenze statistiche</t>
  </si>
  <si>
    <t>Energia finale usata</t>
  </si>
  <si>
    <t>FATTORI DI CONVERSIONE</t>
  </si>
  <si>
    <t xml:space="preserve">Vettore Energetico: </t>
  </si>
  <si>
    <t>UM</t>
  </si>
  <si>
    <t>FC</t>
  </si>
  <si>
    <t>UMC</t>
  </si>
  <si>
    <r>
      <t>MWh</t>
    </r>
    <r>
      <rPr>
        <vertAlign val="subscript"/>
        <sz val="10"/>
        <rFont val="Arial"/>
        <family val="2"/>
      </rPr>
      <t>f</t>
    </r>
  </si>
  <si>
    <t>Energia elettrica</t>
  </si>
  <si>
    <t>Energia termica</t>
  </si>
  <si>
    <t>UM = Unità di misura naturale per il vettore energetico.</t>
  </si>
  <si>
    <t>FC = Fattore di conversione.</t>
  </si>
  <si>
    <t>UMC = Unità di misura comune.</t>
  </si>
  <si>
    <t>%</t>
  </si>
  <si>
    <t>Fornitura, Produzione Interna, Vendite e Trasformazione di Energia</t>
  </si>
  <si>
    <r>
      <t>Nm</t>
    </r>
    <r>
      <rPr>
        <vertAlign val="superscript"/>
        <sz val="10"/>
        <rFont val="Arial"/>
        <family val="2"/>
      </rPr>
      <t>3</t>
    </r>
  </si>
  <si>
    <t>(19)</t>
  </si>
  <si>
    <t>Anno: 2019</t>
  </si>
  <si>
    <t>TABELLA PARAMETRI DI INPUT</t>
  </si>
  <si>
    <t>quota rinnovabili nell'EE da rete</t>
  </si>
  <si>
    <t>Italia</t>
  </si>
  <si>
    <t>impianti ricezione, smistamento, spedizione</t>
  </si>
  <si>
    <t>Illuminazione capannone</t>
  </si>
  <si>
    <t>Mensa</t>
  </si>
  <si>
    <t>illuminazione esterna</t>
  </si>
  <si>
    <t>climatizzazione uffici</t>
  </si>
  <si>
    <t>Uffici: illuminazione e IT; site management system</t>
  </si>
  <si>
    <t>aree di ristoro autisti</t>
  </si>
  <si>
    <t>K.3</t>
  </si>
  <si>
    <t>K.4</t>
  </si>
  <si>
    <t>K.5</t>
  </si>
  <si>
    <t>autorimessa e stazione servizio</t>
  </si>
  <si>
    <t xml:space="preserve">Processo </t>
  </si>
  <si>
    <t>M.6</t>
  </si>
  <si>
    <t>K.6</t>
  </si>
  <si>
    <t>ACS servizi e spogliatoi</t>
  </si>
  <si>
    <t>Contabilità Energetica Centro di Logistica generico</t>
  </si>
  <si>
    <t>dati fittizi</t>
  </si>
  <si>
    <t>COP medio in riscaldamento</t>
  </si>
  <si>
    <t>PdC in riscaldamento</t>
  </si>
  <si>
    <t>M.7</t>
  </si>
  <si>
    <t>Perdite EE distribuzione interna</t>
  </si>
  <si>
    <t>Vendita energia elettrica</t>
  </si>
  <si>
    <t>altre</t>
  </si>
  <si>
    <t>D.2</t>
  </si>
  <si>
    <t>Da rifornimenti non sul sito</t>
  </si>
  <si>
    <t>Pompe di calore capannone in riscaldamento</t>
  </si>
  <si>
    <t>Energia termica rec da ambiente ext (altre+ACS)</t>
  </si>
  <si>
    <t>trasporto (incl. O&amp;M gruppo elettrogeno)</t>
  </si>
  <si>
    <t>Servizi</t>
  </si>
  <si>
    <t>B.n</t>
  </si>
  <si>
    <t>Energia termica rec da ambiente ext (capannone)</t>
  </si>
  <si>
    <t>totale dai punti di prelievo</t>
  </si>
  <si>
    <t>totale</t>
  </si>
  <si>
    <t>energia elettrica prelevata da rete e PV (stima 1%)</t>
  </si>
  <si>
    <t xml:space="preserve">perdite </t>
  </si>
  <si>
    <t>stimata- AC, sistemi emergenza, etc.</t>
  </si>
  <si>
    <t>Aria compressa e altre</t>
  </si>
  <si>
    <t>misurata</t>
  </si>
  <si>
    <t>stimata</t>
  </si>
  <si>
    <t>ACS e spogliatoi</t>
  </si>
  <si>
    <t>stima</t>
  </si>
  <si>
    <t xml:space="preserve"> aree ristoro (illum., macchinette, media, etc.)</t>
  </si>
  <si>
    <t>incl. illum uffici misurata (è stimata la suddivisione tra le due)</t>
  </si>
  <si>
    <t>illum uffici + IT e site management system</t>
  </si>
  <si>
    <t>bottom up: misure coprono 95-98% ca. ;l'altro 2% azzecco l'odg (errore 50%)</t>
  </si>
  <si>
    <t>illuminazione capannone</t>
  </si>
  <si>
    <t>clima uffici</t>
  </si>
  <si>
    <t xml:space="preserve">soprattutto piccole PdC </t>
  </si>
  <si>
    <t>clima capannone altri</t>
  </si>
  <si>
    <t>100% bottom up grosse unità;</t>
  </si>
  <si>
    <t>clima capannone</t>
  </si>
  <si>
    <t>ricostruito bottom up da misure a tutte le sue partenze (copertura quasi totale)</t>
  </si>
  <si>
    <t>Processo</t>
  </si>
  <si>
    <r>
      <t>s</t>
    </r>
    <r>
      <rPr>
        <b/>
        <vertAlign val="superscript"/>
        <sz val="11"/>
        <color theme="1"/>
        <rFont val="Symbol"/>
        <family val="1"/>
        <charset val="2"/>
      </rPr>
      <t>2</t>
    </r>
  </si>
  <si>
    <r>
      <t xml:space="preserve">incertezza +/- </t>
    </r>
    <r>
      <rPr>
        <b/>
        <sz val="11"/>
        <color theme="1"/>
        <rFont val="Symbol"/>
        <family val="1"/>
        <charset val="2"/>
      </rPr>
      <t>s</t>
    </r>
  </si>
  <si>
    <r>
      <t xml:space="preserve">incertezza % +/- </t>
    </r>
    <r>
      <rPr>
        <b/>
        <sz val="11"/>
        <color theme="1"/>
        <rFont val="Symbol"/>
        <family val="1"/>
        <charset val="2"/>
      </rPr>
      <t>s</t>
    </r>
  </si>
  <si>
    <t>note</t>
  </si>
  <si>
    <t>utenza</t>
  </si>
  <si>
    <t>clima mensa</t>
  </si>
  <si>
    <t>in %</t>
  </si>
  <si>
    <t>differenza</t>
  </si>
  <si>
    <t>variazione scorte</t>
  </si>
  <si>
    <t>altri utilizzi</t>
  </si>
  <si>
    <t>rifornimenti ai veicoli da staz serv interna</t>
  </si>
  <si>
    <t>consumi dei veicoli</t>
  </si>
  <si>
    <t>totale rifornimenti (risorse)</t>
  </si>
  <si>
    <t>rifornimenti alle cisterne (da fornitore)</t>
  </si>
  <si>
    <t>rifornimenti ai veicoli  in viaggio</t>
  </si>
  <si>
    <t>quantità (litri)</t>
  </si>
  <si>
    <r>
      <t>consumo, MWh</t>
    </r>
    <r>
      <rPr>
        <b/>
        <vertAlign val="subscript"/>
        <sz val="11"/>
        <color theme="1"/>
        <rFont val="Calibri"/>
        <family val="2"/>
        <scheme val="minor"/>
      </rPr>
      <t>el</t>
    </r>
  </si>
  <si>
    <t>altre pdc in riscaldamento + ACS</t>
  </si>
  <si>
    <t>Materia prima per usi non specificati</t>
  </si>
  <si>
    <t>G.2</t>
  </si>
  <si>
    <t>riscaldamento invernale capannone</t>
  </si>
  <si>
    <t>cdz estivo capannone</t>
  </si>
  <si>
    <r>
      <t>calore da aria ext., MWh</t>
    </r>
    <r>
      <rPr>
        <b/>
        <vertAlign val="subscript"/>
        <sz val="11"/>
        <color theme="1"/>
        <rFont val="Calibri"/>
        <family val="2"/>
        <scheme val="minor"/>
      </rPr>
      <t>th</t>
    </r>
  </si>
  <si>
    <r>
      <t>di cui estivo, MWh</t>
    </r>
    <r>
      <rPr>
        <i/>
        <vertAlign val="subscript"/>
        <sz val="11"/>
        <color theme="1"/>
        <rFont val="Calibri"/>
        <family val="2"/>
        <scheme val="minor"/>
      </rPr>
      <t>el</t>
    </r>
  </si>
  <si>
    <r>
      <t>di cui invernale, MWh</t>
    </r>
    <r>
      <rPr>
        <i/>
        <vertAlign val="subscript"/>
        <sz val="11"/>
        <color theme="1"/>
        <rFont val="Calibri"/>
        <family val="2"/>
        <scheme val="minor"/>
      </rPr>
      <t>el</t>
    </r>
  </si>
  <si>
    <t>na</t>
  </si>
  <si>
    <t>tutto l'anno</t>
  </si>
  <si>
    <t>ACS e spogliatoi (**)</t>
  </si>
  <si>
    <t>(**)</t>
  </si>
  <si>
    <t>COP</t>
  </si>
  <si>
    <r>
      <t xml:space="preserve">totale impieghi e </t>
    </r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 xml:space="preserve"> scorte</t>
    </r>
  </si>
  <si>
    <t>p.u.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</si>
</sst>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000"/>
    <numFmt numFmtId="165" formatCode="#,##0.000"/>
    <numFmt numFmtId="166" formatCode="0.0%"/>
    <numFmt numFmtId="167" formatCode="0.0"/>
  </numFmts>
  <fonts count="3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rgb="FF0070C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name val="Arial"/>
      <family val="2"/>
    </font>
    <font>
      <vertAlign val="subscript"/>
      <sz val="10"/>
      <color indexed="8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4"/>
      <name val="Arial"/>
      <family val="2"/>
    </font>
    <font>
      <b/>
      <sz val="11"/>
      <color theme="4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Symbol"/>
      <family val="1"/>
      <charset val="2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b/>
      <sz val="12"/>
      <color theme="4"/>
      <name val="Arial"/>
      <family val="2"/>
    </font>
    <font>
      <sz val="12"/>
      <color theme="4"/>
      <name val="Arial"/>
      <family val="2"/>
    </font>
    <font>
      <sz val="11"/>
      <color theme="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16" fillId="0" borderId="0" applyFont="0" applyFill="0" applyBorder="0" applyAlignment="0" applyProtection="0"/>
  </cellStyleXfs>
  <cellXfs count="3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6" xfId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3" borderId="11" xfId="0" quotePrefix="1" applyNumberFormat="1" applyFont="1" applyFill="1" applyBorder="1" applyAlignment="1">
      <alignment horizontal="center" vertical="center"/>
    </xf>
    <xf numFmtId="0" fontId="10" fillId="3" borderId="13" xfId="0" quotePrefix="1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vertical="center"/>
    </xf>
    <xf numFmtId="3" fontId="11" fillId="4" borderId="14" xfId="0" applyNumberFormat="1" applyFont="1" applyFill="1" applyBorder="1" applyAlignment="1">
      <alignment horizontal="left"/>
    </xf>
    <xf numFmtId="3" fontId="11" fillId="4" borderId="15" xfId="0" applyNumberFormat="1" applyFont="1" applyFill="1" applyBorder="1" applyAlignment="1">
      <alignment wrapText="1"/>
    </xf>
    <xf numFmtId="3" fontId="9" fillId="4" borderId="16" xfId="0" applyNumberFormat="1" applyFont="1" applyFill="1" applyBorder="1"/>
    <xf numFmtId="3" fontId="9" fillId="4" borderId="17" xfId="0" applyNumberFormat="1" applyFont="1" applyFill="1" applyBorder="1"/>
    <xf numFmtId="3" fontId="9" fillId="5" borderId="19" xfId="0" applyNumberFormat="1" applyFont="1" applyFill="1" applyBorder="1" applyAlignment="1">
      <alignment horizontal="right" vertical="top"/>
    </xf>
    <xf numFmtId="3" fontId="9" fillId="5" borderId="20" xfId="0" applyNumberFormat="1" applyFont="1" applyFill="1" applyBorder="1" applyAlignment="1">
      <alignment vertical="top"/>
    </xf>
    <xf numFmtId="3" fontId="9" fillId="5" borderId="21" xfId="0" applyNumberFormat="1" applyFont="1" applyFill="1" applyBorder="1"/>
    <xf numFmtId="3" fontId="9" fillId="5" borderId="22" xfId="0" applyNumberFormat="1" applyFont="1" applyFill="1" applyBorder="1"/>
    <xf numFmtId="3" fontId="9" fillId="5" borderId="20" xfId="0" applyNumberFormat="1" applyFont="1" applyFill="1" applyBorder="1" applyAlignment="1">
      <alignment horizontal="left" vertical="top" wrapText="1"/>
    </xf>
    <xf numFmtId="3" fontId="9" fillId="5" borderId="21" xfId="0" applyNumberFormat="1" applyFont="1" applyFill="1" applyBorder="1" applyAlignment="1">
      <alignment vertical="center"/>
    </xf>
    <xf numFmtId="3" fontId="9" fillId="5" borderId="22" xfId="0" applyNumberFormat="1" applyFont="1" applyFill="1" applyBorder="1" applyAlignment="1">
      <alignment vertical="center"/>
    </xf>
    <xf numFmtId="0" fontId="1" fillId="0" borderId="0" xfId="0" applyFont="1" applyBorder="1"/>
    <xf numFmtId="3" fontId="9" fillId="4" borderId="24" xfId="0" applyNumberFormat="1" applyFont="1" applyFill="1" applyBorder="1" applyAlignment="1">
      <alignment horizontal="right" vertical="center"/>
    </xf>
    <xf numFmtId="3" fontId="9" fillId="4" borderId="25" xfId="0" applyNumberFormat="1" applyFont="1" applyFill="1" applyBorder="1" applyAlignment="1">
      <alignment vertical="center"/>
    </xf>
    <xf numFmtId="3" fontId="9" fillId="4" borderId="26" xfId="0" applyNumberFormat="1" applyFont="1" applyFill="1" applyBorder="1"/>
    <xf numFmtId="3" fontId="9" fillId="4" borderId="27" xfId="0" applyNumberFormat="1" applyFont="1" applyFill="1" applyBorder="1"/>
    <xf numFmtId="3" fontId="9" fillId="3" borderId="29" xfId="0" applyNumberFormat="1" applyFont="1" applyFill="1" applyBorder="1"/>
    <xf numFmtId="3" fontId="9" fillId="3" borderId="30" xfId="0" applyNumberFormat="1" applyFont="1" applyFill="1" applyBorder="1"/>
    <xf numFmtId="3" fontId="5" fillId="3" borderId="7" xfId="0" applyNumberFormat="1" applyFont="1" applyFill="1" applyBorder="1"/>
    <xf numFmtId="3" fontId="9" fillId="3" borderId="8" xfId="0" applyNumberFormat="1" applyFont="1" applyFill="1" applyBorder="1" applyAlignment="1">
      <alignment horizontal="right"/>
    </xf>
    <xf numFmtId="3" fontId="9" fillId="3" borderId="32" xfId="0" applyNumberFormat="1" applyFont="1" applyFill="1" applyBorder="1"/>
    <xf numFmtId="3" fontId="9" fillId="3" borderId="8" xfId="0" applyNumberFormat="1" applyFont="1" applyFill="1" applyBorder="1"/>
    <xf numFmtId="3" fontId="11" fillId="5" borderId="34" xfId="0" applyNumberFormat="1" applyFont="1" applyFill="1" applyBorder="1" applyAlignment="1">
      <alignment horizontal="left"/>
    </xf>
    <xf numFmtId="3" fontId="11" fillId="5" borderId="0" xfId="0" applyNumberFormat="1" applyFont="1" applyFill="1" applyBorder="1"/>
    <xf numFmtId="3" fontId="9" fillId="5" borderId="35" xfId="0" applyNumberFormat="1" applyFont="1" applyFill="1" applyBorder="1"/>
    <xf numFmtId="3" fontId="9" fillId="5" borderId="0" xfId="0" applyNumberFormat="1" applyFont="1" applyFill="1" applyBorder="1"/>
    <xf numFmtId="3" fontId="9" fillId="4" borderId="37" xfId="0" applyNumberFormat="1" applyFont="1" applyFill="1" applyBorder="1" applyAlignment="1">
      <alignment horizontal="right"/>
    </xf>
    <xf numFmtId="3" fontId="9" fillId="4" borderId="38" xfId="0" applyNumberFormat="1" applyFont="1" applyFill="1" applyBorder="1"/>
    <xf numFmtId="3" fontId="9" fillId="4" borderId="35" xfId="0" applyNumberFormat="1" applyFont="1" applyFill="1" applyBorder="1"/>
    <xf numFmtId="3" fontId="9" fillId="4" borderId="0" xfId="0" applyNumberFormat="1" applyFont="1" applyFill="1" applyBorder="1"/>
    <xf numFmtId="3" fontId="9" fillId="4" borderId="38" xfId="0" applyNumberFormat="1" applyFont="1" applyFill="1" applyBorder="1" applyAlignment="1">
      <alignment vertical="top" wrapText="1"/>
    </xf>
    <xf numFmtId="3" fontId="5" fillId="3" borderId="34" xfId="0" applyNumberFormat="1" applyFont="1" applyFill="1" applyBorder="1"/>
    <xf numFmtId="3" fontId="9" fillId="3" borderId="0" xfId="0" applyNumberFormat="1" applyFont="1" applyFill="1" applyBorder="1" applyAlignment="1">
      <alignment horizontal="right"/>
    </xf>
    <xf numFmtId="3" fontId="9" fillId="6" borderId="29" xfId="0" applyNumberFormat="1" applyFont="1" applyFill="1" applyBorder="1"/>
    <xf numFmtId="3" fontId="9" fillId="6" borderId="30" xfId="0" applyNumberFormat="1" applyFont="1" applyFill="1" applyBorder="1"/>
    <xf numFmtId="3" fontId="9" fillId="3" borderId="7" xfId="0" applyNumberFormat="1" applyFont="1" applyFill="1" applyBorder="1"/>
    <xf numFmtId="3" fontId="11" fillId="5" borderId="37" xfId="0" applyNumberFormat="1" applyFont="1" applyFill="1" applyBorder="1" applyAlignment="1">
      <alignment horizontal="left"/>
    </xf>
    <xf numFmtId="3" fontId="11" fillId="5" borderId="38" xfId="0" applyNumberFormat="1" applyFont="1" applyFill="1" applyBorder="1"/>
    <xf numFmtId="3" fontId="9" fillId="5" borderId="37" xfId="0" applyNumberFormat="1" applyFont="1" applyFill="1" applyBorder="1" applyAlignment="1">
      <alignment horizontal="right"/>
    </xf>
    <xf numFmtId="3" fontId="9" fillId="5" borderId="38" xfId="0" applyNumberFormat="1" applyFont="1" applyFill="1" applyBorder="1"/>
    <xf numFmtId="3" fontId="12" fillId="3" borderId="4" xfId="0" applyNumberFormat="1" applyFont="1" applyFill="1" applyBorder="1"/>
    <xf numFmtId="3" fontId="11" fillId="3" borderId="30" xfId="0" applyNumberFormat="1" applyFont="1" applyFill="1" applyBorder="1" applyAlignment="1">
      <alignment horizontal="right"/>
    </xf>
    <xf numFmtId="3" fontId="9" fillId="5" borderId="34" xfId="0" applyNumberFormat="1" applyFont="1" applyFill="1" applyBorder="1" applyAlignment="1">
      <alignment horizontal="right"/>
    </xf>
    <xf numFmtId="3" fontId="11" fillId="3" borderId="31" xfId="0" applyNumberFormat="1" applyFont="1" applyFill="1" applyBorder="1" applyAlignment="1">
      <alignment horizontal="right"/>
    </xf>
    <xf numFmtId="3" fontId="9" fillId="3" borderId="34" xfId="0" applyNumberFormat="1" applyFont="1" applyFill="1" applyBorder="1"/>
    <xf numFmtId="3" fontId="9" fillId="3" borderId="36" xfId="0" applyNumberFormat="1" applyFont="1" applyFill="1" applyBorder="1" applyAlignment="1">
      <alignment horizontal="right"/>
    </xf>
    <xf numFmtId="3" fontId="9" fillId="3" borderId="13" xfId="0" applyNumberFormat="1" applyFont="1" applyFill="1" applyBorder="1" applyAlignment="1">
      <alignment horizontal="right"/>
    </xf>
    <xf numFmtId="3" fontId="11" fillId="4" borderId="34" xfId="0" applyNumberFormat="1" applyFont="1" applyFill="1" applyBorder="1" applyAlignment="1">
      <alignment horizontal="left"/>
    </xf>
    <xf numFmtId="3" fontId="11" fillId="4" borderId="0" xfId="0" applyNumberFormat="1" applyFont="1" applyFill="1" applyBorder="1"/>
    <xf numFmtId="3" fontId="9" fillId="4" borderId="29" xfId="0" applyNumberFormat="1" applyFont="1" applyFill="1" applyBorder="1"/>
    <xf numFmtId="3" fontId="9" fillId="4" borderId="30" xfId="0" applyNumberFormat="1" applyFont="1" applyFill="1" applyBorder="1"/>
    <xf numFmtId="3" fontId="9" fillId="5" borderId="11" xfId="0" applyNumberFormat="1" applyFont="1" applyFill="1" applyBorder="1" applyAlignment="1">
      <alignment horizontal="right"/>
    </xf>
    <xf numFmtId="3" fontId="9" fillId="5" borderId="39" xfId="0" applyNumberFormat="1" applyFont="1" applyFill="1" applyBorder="1"/>
    <xf numFmtId="3" fontId="9" fillId="5" borderId="40" xfId="0" applyNumberFormat="1" applyFont="1" applyFill="1" applyBorder="1"/>
    <xf numFmtId="3" fontId="9" fillId="5" borderId="41" xfId="0" applyNumberFormat="1" applyFont="1" applyFill="1" applyBorder="1"/>
    <xf numFmtId="3" fontId="9" fillId="5" borderId="24" xfId="0" applyNumberFormat="1" applyFont="1" applyFill="1" applyBorder="1" applyAlignment="1">
      <alignment horizontal="right"/>
    </xf>
    <xf numFmtId="3" fontId="9" fillId="5" borderId="25" xfId="0" applyNumberFormat="1" applyFont="1" applyFill="1" applyBorder="1"/>
    <xf numFmtId="3" fontId="9" fillId="5" borderId="26" xfId="0" applyNumberFormat="1" applyFont="1" applyFill="1" applyBorder="1"/>
    <xf numFmtId="3" fontId="9" fillId="5" borderId="27" xfId="0" applyNumberFormat="1" applyFont="1" applyFill="1" applyBorder="1"/>
    <xf numFmtId="3" fontId="9" fillId="4" borderId="24" xfId="0" applyNumberFormat="1" applyFont="1" applyFill="1" applyBorder="1" applyAlignment="1">
      <alignment horizontal="right"/>
    </xf>
    <xf numFmtId="3" fontId="9" fillId="4" borderId="25" xfId="0" applyNumberFormat="1" applyFont="1" applyFill="1" applyBorder="1"/>
    <xf numFmtId="3" fontId="11" fillId="5" borderId="11" xfId="0" applyNumberFormat="1" applyFont="1" applyFill="1" applyBorder="1" applyAlignment="1">
      <alignment horizontal="left"/>
    </xf>
    <xf numFmtId="3" fontId="11" fillId="5" borderId="39" xfId="0" applyNumberFormat="1" applyFont="1" applyFill="1" applyBorder="1"/>
    <xf numFmtId="3" fontId="9" fillId="4" borderId="19" xfId="0" applyNumberFormat="1" applyFont="1" applyFill="1" applyBorder="1" applyAlignment="1">
      <alignment horizontal="right"/>
    </xf>
    <xf numFmtId="3" fontId="9" fillId="4" borderId="20" xfId="0" applyNumberFormat="1" applyFont="1" applyFill="1" applyBorder="1"/>
    <xf numFmtId="0" fontId="12" fillId="7" borderId="7" xfId="1" applyFont="1" applyFill="1" applyBorder="1" applyAlignment="1">
      <alignment horizontal="center" wrapText="1"/>
    </xf>
    <xf numFmtId="0" fontId="14" fillId="7" borderId="8" xfId="1" applyFont="1" applyFill="1" applyBorder="1" applyAlignment="1">
      <alignment horizontal="right" vertical="top" wrapText="1"/>
    </xf>
    <xf numFmtId="0" fontId="14" fillId="9" borderId="0" xfId="1" applyFont="1" applyFill="1" applyBorder="1" applyAlignment="1">
      <alignment wrapText="1"/>
    </xf>
    <xf numFmtId="0" fontId="1" fillId="9" borderId="0" xfId="1" applyFont="1" applyFill="1" applyBorder="1" applyAlignment="1">
      <alignment horizontal="left"/>
    </xf>
    <xf numFmtId="0" fontId="14" fillId="9" borderId="0" xfId="1" applyFont="1" applyFill="1" applyBorder="1" applyAlignment="1">
      <alignment horizontal="left"/>
    </xf>
    <xf numFmtId="0" fontId="14" fillId="9" borderId="0" xfId="1" applyFont="1" applyFill="1" applyBorder="1" applyAlignment="1">
      <alignment horizontal="center" wrapText="1"/>
    </xf>
    <xf numFmtId="3" fontId="5" fillId="4" borderId="0" xfId="1" applyNumberFormat="1" applyFont="1" applyFill="1" applyBorder="1"/>
    <xf numFmtId="0" fontId="12" fillId="9" borderId="0" xfId="1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2" fillId="0" borderId="8" xfId="1" applyFont="1" applyBorder="1" applyAlignment="1">
      <alignment horizontal="left" vertical="center"/>
    </xf>
    <xf numFmtId="3" fontId="1" fillId="0" borderId="0" xfId="0" applyNumberFormat="1" applyFont="1" applyAlignment="1">
      <alignment vertical="center"/>
    </xf>
    <xf numFmtId="0" fontId="10" fillId="3" borderId="11" xfId="0" quotePrefix="1" applyNumberFormat="1" applyFont="1" applyFill="1" applyBorder="1" applyAlignment="1">
      <alignment horizontal="center"/>
    </xf>
    <xf numFmtId="0" fontId="10" fillId="3" borderId="11" xfId="0" quotePrefix="1" applyNumberFormat="1" applyFont="1" applyFill="1" applyBorder="1" applyAlignment="1" applyProtection="1">
      <alignment horizontal="center"/>
      <protection locked="0"/>
    </xf>
    <xf numFmtId="0" fontId="9" fillId="3" borderId="11" xfId="0" quotePrefix="1" applyNumberFormat="1" applyFont="1" applyFill="1" applyBorder="1" applyAlignment="1">
      <alignment horizontal="center"/>
    </xf>
    <xf numFmtId="0" fontId="9" fillId="3" borderId="43" xfId="0" quotePrefix="1" applyNumberFormat="1" applyFont="1" applyFill="1" applyBorder="1" applyAlignment="1">
      <alignment horizontal="center"/>
    </xf>
    <xf numFmtId="3" fontId="11" fillId="4" borderId="15" xfId="0" applyNumberFormat="1" applyFont="1" applyFill="1" applyBorder="1"/>
    <xf numFmtId="3" fontId="9" fillId="5" borderId="19" xfId="0" applyNumberFormat="1" applyFont="1" applyFill="1" applyBorder="1" applyAlignment="1">
      <alignment horizontal="right"/>
    </xf>
    <xf numFmtId="3" fontId="9" fillId="5" borderId="20" xfId="0" applyNumberFormat="1" applyFont="1" applyFill="1" applyBorder="1"/>
    <xf numFmtId="3" fontId="9" fillId="4" borderId="21" xfId="0" applyNumberFormat="1" applyFont="1" applyFill="1" applyBorder="1"/>
    <xf numFmtId="3" fontId="9" fillId="4" borderId="22" xfId="0" applyNumberFormat="1" applyFont="1" applyFill="1" applyBorder="1"/>
    <xf numFmtId="3" fontId="12" fillId="3" borderId="1" xfId="0" applyNumberFormat="1" applyFont="1" applyFill="1" applyBorder="1"/>
    <xf numFmtId="3" fontId="11" fillId="3" borderId="2" xfId="0" applyNumberFormat="1" applyFont="1" applyFill="1" applyBorder="1" applyAlignment="1">
      <alignment horizontal="right"/>
    </xf>
    <xf numFmtId="3" fontId="9" fillId="3" borderId="44" xfId="0" applyNumberFormat="1" applyFont="1" applyFill="1" applyBorder="1"/>
    <xf numFmtId="3" fontId="9" fillId="3" borderId="2" xfId="0" applyNumberFormat="1" applyFont="1" applyFill="1" applyBorder="1"/>
    <xf numFmtId="3" fontId="9" fillId="3" borderId="3" xfId="0" applyNumberFormat="1" applyFont="1" applyFill="1" applyBorder="1"/>
    <xf numFmtId="3" fontId="11" fillId="4" borderId="11" xfId="0" applyNumberFormat="1" applyFont="1" applyFill="1" applyBorder="1" applyAlignment="1">
      <alignment horizontal="left"/>
    </xf>
    <xf numFmtId="3" fontId="11" fillId="4" borderId="39" xfId="0" applyNumberFormat="1" applyFont="1" applyFill="1" applyBorder="1"/>
    <xf numFmtId="3" fontId="9" fillId="4" borderId="40" xfId="0" applyNumberFormat="1" applyFont="1" applyFill="1" applyBorder="1"/>
    <xf numFmtId="3" fontId="9" fillId="4" borderId="41" xfId="0" applyNumberFormat="1" applyFont="1" applyFill="1" applyBorder="1"/>
    <xf numFmtId="3" fontId="11" fillId="4" borderId="19" xfId="0" applyNumberFormat="1" applyFont="1" applyFill="1" applyBorder="1" applyAlignment="1">
      <alignment horizontal="left"/>
    </xf>
    <xf numFmtId="3" fontId="5" fillId="4" borderId="20" xfId="0" applyNumberFormat="1" applyFont="1" applyFill="1" applyBorder="1"/>
    <xf numFmtId="3" fontId="12" fillId="8" borderId="1" xfId="1" applyNumberFormat="1" applyFont="1" applyFill="1" applyBorder="1"/>
    <xf numFmtId="3" fontId="12" fillId="8" borderId="2" xfId="1" applyNumberFormat="1" applyFont="1" applyFill="1" applyBorder="1" applyAlignment="1">
      <alignment horizontal="right"/>
    </xf>
    <xf numFmtId="0" fontId="12" fillId="0" borderId="7" xfId="1" applyFont="1" applyBorder="1" applyAlignment="1">
      <alignment horizontal="left" vertical="center"/>
    </xf>
    <xf numFmtId="0" fontId="15" fillId="0" borderId="9" xfId="1" applyFont="1" applyBorder="1" applyAlignment="1">
      <alignment horizontal="center"/>
    </xf>
    <xf numFmtId="0" fontId="15" fillId="0" borderId="10" xfId="1" applyFont="1" applyBorder="1" applyAlignment="1">
      <alignment horizontal="center"/>
    </xf>
    <xf numFmtId="0" fontId="3" fillId="0" borderId="36" xfId="1" applyFont="1" applyBorder="1" applyAlignment="1">
      <alignment horizontal="center"/>
    </xf>
    <xf numFmtId="3" fontId="9" fillId="5" borderId="34" xfId="0" applyNumberFormat="1" applyFont="1" applyFill="1" applyBorder="1" applyAlignment="1"/>
    <xf numFmtId="0" fontId="3" fillId="0" borderId="35" xfId="1" applyFont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165" fontId="9" fillId="5" borderId="35" xfId="0" applyNumberFormat="1" applyFont="1" applyFill="1" applyBorder="1"/>
    <xf numFmtId="3" fontId="9" fillId="5" borderId="35" xfId="0" applyNumberFormat="1" applyFont="1" applyFill="1" applyBorder="1" applyAlignment="1">
      <alignment horizontal="center"/>
    </xf>
    <xf numFmtId="0" fontId="3" fillId="0" borderId="34" xfId="1" applyFont="1" applyBorder="1" applyAlignment="1">
      <alignment vertical="top" wrapText="1"/>
    </xf>
    <xf numFmtId="3" fontId="9" fillId="4" borderId="35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 vertical="center"/>
    </xf>
    <xf numFmtId="164" fontId="9" fillId="5" borderId="35" xfId="0" applyNumberFormat="1" applyFont="1" applyFill="1" applyBorder="1"/>
    <xf numFmtId="3" fontId="9" fillId="3" borderId="1" xfId="0" applyNumberFormat="1" applyFont="1" applyFill="1" applyBorder="1"/>
    <xf numFmtId="3" fontId="9" fillId="3" borderId="44" xfId="0" applyNumberFormat="1" applyFont="1" applyFill="1" applyBorder="1" applyAlignment="1">
      <alignment horizontal="center"/>
    </xf>
    <xf numFmtId="3" fontId="9" fillId="0" borderId="0" xfId="0" applyNumberFormat="1" applyFont="1" applyFill="1" applyBorder="1"/>
    <xf numFmtId="3" fontId="1" fillId="0" borderId="0" xfId="0" applyNumberFormat="1" applyFont="1"/>
    <xf numFmtId="0" fontId="0" fillId="0" borderId="0" xfId="0" applyAlignment="1">
      <alignment horizontal="center"/>
    </xf>
    <xf numFmtId="3" fontId="1" fillId="9" borderId="0" xfId="1" applyNumberFormat="1" applyFont="1" applyFill="1" applyBorder="1" applyAlignment="1">
      <alignment horizontal="left"/>
    </xf>
    <xf numFmtId="0" fontId="4" fillId="0" borderId="0" xfId="0" applyFont="1"/>
    <xf numFmtId="0" fontId="3" fillId="0" borderId="48" xfId="1" quotePrefix="1" applyFont="1" applyBorder="1" applyAlignment="1">
      <alignment horizontal="center" vertical="center"/>
    </xf>
    <xf numFmtId="0" fontId="9" fillId="3" borderId="13" xfId="0" quotePrefix="1" applyNumberFormat="1" applyFont="1" applyFill="1" applyBorder="1" applyAlignment="1">
      <alignment horizontal="center"/>
    </xf>
    <xf numFmtId="0" fontId="9" fillId="3" borderId="49" xfId="0" quotePrefix="1" applyNumberFormat="1" applyFont="1" applyFill="1" applyBorder="1" applyAlignment="1">
      <alignment horizontal="center"/>
    </xf>
    <xf numFmtId="166" fontId="9" fillId="4" borderId="18" xfId="0" applyNumberFormat="1" applyFont="1" applyFill="1" applyBorder="1"/>
    <xf numFmtId="166" fontId="9" fillId="3" borderId="31" xfId="0" applyNumberFormat="1" applyFont="1" applyFill="1" applyBorder="1"/>
    <xf numFmtId="166" fontId="9" fillId="3" borderId="13" xfId="0" applyNumberFormat="1" applyFont="1" applyFill="1" applyBorder="1"/>
    <xf numFmtId="166" fontId="9" fillId="5" borderId="36" xfId="0" applyNumberFormat="1" applyFont="1" applyFill="1" applyBorder="1"/>
    <xf numFmtId="166" fontId="9" fillId="4" borderId="36" xfId="0" applyNumberFormat="1" applyFont="1" applyFill="1" applyBorder="1"/>
    <xf numFmtId="0" fontId="3" fillId="0" borderId="48" xfId="1" applyFont="1" applyBorder="1" applyAlignment="1">
      <alignment horizontal="center" vertical="center"/>
    </xf>
    <xf numFmtId="166" fontId="1" fillId="0" borderId="0" xfId="2" applyNumberFormat="1" applyFont="1"/>
    <xf numFmtId="0" fontId="12" fillId="0" borderId="50" xfId="1" applyFont="1" applyBorder="1" applyAlignment="1">
      <alignment horizontal="left" vertical="center"/>
    </xf>
    <xf numFmtId="0" fontId="15" fillId="0" borderId="50" xfId="1" applyFont="1" applyBorder="1" applyAlignment="1">
      <alignment horizontal="center"/>
    </xf>
    <xf numFmtId="0" fontId="3" fillId="0" borderId="50" xfId="1" applyFont="1" applyFill="1" applyBorder="1" applyAlignment="1">
      <alignment horizontal="center" vertical="center"/>
    </xf>
    <xf numFmtId="9" fontId="9" fillId="0" borderId="50" xfId="2" applyFont="1" applyFill="1" applyBorder="1" applyAlignment="1">
      <alignment horizontal="center"/>
    </xf>
    <xf numFmtId="4" fontId="9" fillId="0" borderId="50" xfId="0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" fillId="0" borderId="0" xfId="0" applyFont="1" applyFill="1"/>
    <xf numFmtId="0" fontId="13" fillId="2" borderId="55" xfId="1" applyFont="1" applyFill="1" applyBorder="1" applyAlignment="1">
      <alignment horizontal="center" vertical="center"/>
    </xf>
    <xf numFmtId="0" fontId="13" fillId="2" borderId="56" xfId="1" applyFont="1" applyFill="1" applyBorder="1" applyAlignment="1">
      <alignment horizontal="center" vertical="center"/>
    </xf>
    <xf numFmtId="3" fontId="9" fillId="3" borderId="46" xfId="0" applyNumberFormat="1" applyFont="1" applyFill="1" applyBorder="1"/>
    <xf numFmtId="3" fontId="9" fillId="3" borderId="57" xfId="0" applyNumberFormat="1" applyFont="1" applyFill="1" applyBorder="1"/>
    <xf numFmtId="3" fontId="9" fillId="3" borderId="6" xfId="0" applyNumberFormat="1" applyFont="1" applyFill="1" applyBorder="1"/>
    <xf numFmtId="3" fontId="9" fillId="0" borderId="50" xfId="0" applyNumberFormat="1" applyFont="1" applyFill="1" applyBorder="1" applyAlignment="1">
      <alignment horizontal="left"/>
    </xf>
    <xf numFmtId="0" fontId="13" fillId="2" borderId="54" xfId="1" applyFont="1" applyFill="1" applyBorder="1" applyAlignment="1">
      <alignment horizontal="left" vertical="center"/>
    </xf>
    <xf numFmtId="0" fontId="3" fillId="0" borderId="46" xfId="1" applyFont="1" applyBorder="1" applyAlignment="1">
      <alignment horizontal="center" vertical="top" wrapText="1"/>
    </xf>
    <xf numFmtId="3" fontId="20" fillId="4" borderId="0" xfId="0" applyNumberFormat="1" applyFont="1" applyFill="1" applyBorder="1" applyAlignment="1">
      <alignment vertical="top"/>
    </xf>
    <xf numFmtId="3" fontId="20" fillId="5" borderId="41" xfId="0" applyNumberFormat="1" applyFont="1" applyFill="1" applyBorder="1"/>
    <xf numFmtId="3" fontId="20" fillId="3" borderId="29" xfId="0" applyNumberFormat="1" applyFont="1" applyFill="1" applyBorder="1"/>
    <xf numFmtId="3" fontId="20" fillId="3" borderId="30" xfId="0" applyNumberFormat="1" applyFont="1" applyFill="1" applyBorder="1"/>
    <xf numFmtId="166" fontId="20" fillId="3" borderId="31" xfId="0" applyNumberFormat="1" applyFont="1" applyFill="1" applyBorder="1"/>
    <xf numFmtId="3" fontId="20" fillId="3" borderId="32" xfId="0" applyNumberFormat="1" applyFont="1" applyFill="1" applyBorder="1"/>
    <xf numFmtId="3" fontId="20" fillId="3" borderId="8" xfId="0" applyNumberFormat="1" applyFont="1" applyFill="1" applyBorder="1"/>
    <xf numFmtId="166" fontId="20" fillId="3" borderId="13" xfId="0" applyNumberFormat="1" applyFont="1" applyFill="1" applyBorder="1"/>
    <xf numFmtId="3" fontId="20" fillId="3" borderId="35" xfId="0" applyNumberFormat="1" applyFont="1" applyFill="1" applyBorder="1"/>
    <xf numFmtId="3" fontId="20" fillId="3" borderId="0" xfId="0" applyNumberFormat="1" applyFont="1" applyFill="1" applyBorder="1"/>
    <xf numFmtId="166" fontId="20" fillId="3" borderId="36" xfId="0" applyNumberFormat="1" applyFont="1" applyFill="1" applyBorder="1"/>
    <xf numFmtId="3" fontId="20" fillId="6" borderId="29" xfId="0" applyNumberFormat="1" applyFont="1" applyFill="1" applyBorder="1"/>
    <xf numFmtId="3" fontId="20" fillId="6" borderId="30" xfId="0" applyNumberFormat="1" applyFont="1" applyFill="1" applyBorder="1"/>
    <xf numFmtId="166" fontId="20" fillId="6" borderId="31" xfId="0" applyNumberFormat="1" applyFont="1" applyFill="1" applyBorder="1"/>
    <xf numFmtId="3" fontId="9" fillId="5" borderId="26" xfId="0" applyNumberFormat="1" applyFont="1" applyFill="1" applyBorder="1" applyAlignment="1">
      <alignment horizontal="center"/>
    </xf>
    <xf numFmtId="3" fontId="9" fillId="5" borderId="21" xfId="0" applyNumberFormat="1" applyFont="1" applyFill="1" applyBorder="1" applyAlignment="1">
      <alignment horizontal="center"/>
    </xf>
    <xf numFmtId="3" fontId="9" fillId="4" borderId="21" xfId="0" applyNumberFormat="1" applyFont="1" applyFill="1" applyBorder="1" applyAlignment="1">
      <alignment horizontal="center"/>
    </xf>
    <xf numFmtId="3" fontId="20" fillId="4" borderId="26" xfId="0" applyNumberFormat="1" applyFont="1" applyFill="1" applyBorder="1" applyAlignment="1">
      <alignment horizontal="center"/>
    </xf>
    <xf numFmtId="166" fontId="20" fillId="5" borderId="28" xfId="2" applyNumberFormat="1" applyFont="1" applyFill="1" applyBorder="1" applyAlignment="1">
      <alignment horizontal="center"/>
    </xf>
    <xf numFmtId="3" fontId="12" fillId="8" borderId="44" xfId="1" applyNumberFormat="1" applyFont="1" applyFill="1" applyBorder="1" applyAlignment="1">
      <alignment horizontal="center"/>
    </xf>
    <xf numFmtId="3" fontId="12" fillId="8" borderId="2" xfId="1" applyNumberFormat="1" applyFont="1" applyFill="1" applyBorder="1" applyAlignment="1">
      <alignment horizontal="center"/>
    </xf>
    <xf numFmtId="166" fontId="12" fillId="8" borderId="3" xfId="2" applyNumberFormat="1" applyFont="1" applyFill="1" applyBorder="1" applyAlignment="1">
      <alignment horizontal="center"/>
    </xf>
    <xf numFmtId="3" fontId="20" fillId="4" borderId="27" xfId="0" applyNumberFormat="1" applyFont="1" applyFill="1" applyBorder="1" applyAlignment="1">
      <alignment horizontal="center"/>
    </xf>
    <xf numFmtId="0" fontId="3" fillId="0" borderId="58" xfId="1" applyFont="1" applyBorder="1" applyAlignment="1">
      <alignment horizontal="center" vertical="center"/>
    </xf>
    <xf numFmtId="0" fontId="10" fillId="3" borderId="59" xfId="0" quotePrefix="1" applyNumberFormat="1" applyFont="1" applyFill="1" applyBorder="1" applyAlignment="1">
      <alignment horizontal="center" vertical="center"/>
    </xf>
    <xf numFmtId="0" fontId="3" fillId="0" borderId="53" xfId="1" applyFont="1" applyBorder="1" applyAlignment="1">
      <alignment horizontal="center" vertical="center"/>
    </xf>
    <xf numFmtId="0" fontId="10" fillId="3" borderId="49" xfId="0" quotePrefix="1" applyNumberFormat="1" applyFont="1" applyFill="1" applyBorder="1" applyAlignment="1">
      <alignment horizontal="center" vertical="center"/>
    </xf>
    <xf numFmtId="3" fontId="9" fillId="4" borderId="12" xfId="0" applyNumberFormat="1" applyFont="1" applyFill="1" applyBorder="1"/>
    <xf numFmtId="3" fontId="9" fillId="3" borderId="63" xfId="0" applyNumberFormat="1" applyFont="1" applyFill="1" applyBorder="1"/>
    <xf numFmtId="3" fontId="9" fillId="3" borderId="49" xfId="0" applyNumberFormat="1" applyFont="1" applyFill="1" applyBorder="1"/>
    <xf numFmtId="3" fontId="9" fillId="5" borderId="64" xfId="0" applyNumberFormat="1" applyFont="1" applyFill="1" applyBorder="1"/>
    <xf numFmtId="3" fontId="9" fillId="4" borderId="64" xfId="0" applyNumberFormat="1" applyFont="1" applyFill="1" applyBorder="1"/>
    <xf numFmtId="3" fontId="20" fillId="3" borderId="63" xfId="0" applyNumberFormat="1" applyFont="1" applyFill="1" applyBorder="1"/>
    <xf numFmtId="3" fontId="20" fillId="3" borderId="64" xfId="0" applyNumberFormat="1" applyFont="1" applyFill="1" applyBorder="1"/>
    <xf numFmtId="3" fontId="20" fillId="6" borderId="63" xfId="0" applyNumberFormat="1" applyFont="1" applyFill="1" applyBorder="1"/>
    <xf numFmtId="3" fontId="20" fillId="3" borderId="49" xfId="0" applyNumberFormat="1" applyFont="1" applyFill="1" applyBorder="1"/>
    <xf numFmtId="0" fontId="9" fillId="3" borderId="7" xfId="0" quotePrefix="1" applyNumberFormat="1" applyFont="1" applyFill="1" applyBorder="1" applyAlignment="1">
      <alignment horizontal="center"/>
    </xf>
    <xf numFmtId="3" fontId="9" fillId="4" borderId="66" xfId="0" applyNumberFormat="1" applyFont="1" applyFill="1" applyBorder="1"/>
    <xf numFmtId="3" fontId="9" fillId="5" borderId="67" xfId="0" applyNumberFormat="1" applyFont="1" applyFill="1" applyBorder="1"/>
    <xf numFmtId="3" fontId="9" fillId="5" borderId="68" xfId="0" applyNumberFormat="1" applyFont="1" applyFill="1" applyBorder="1"/>
    <xf numFmtId="3" fontId="9" fillId="4" borderId="70" xfId="0" applyNumberFormat="1" applyFont="1" applyFill="1" applyBorder="1"/>
    <xf numFmtId="3" fontId="9" fillId="4" borderId="67" xfId="0" applyNumberFormat="1" applyFont="1" applyFill="1" applyBorder="1"/>
    <xf numFmtId="3" fontId="9" fillId="4" borderId="45" xfId="0" applyNumberFormat="1" applyFont="1" applyFill="1" applyBorder="1"/>
    <xf numFmtId="3" fontId="20" fillId="4" borderId="68" xfId="0" applyNumberFormat="1" applyFont="1" applyFill="1" applyBorder="1" applyAlignment="1">
      <alignment horizontal="center"/>
    </xf>
    <xf numFmtId="3" fontId="9" fillId="4" borderId="61" xfId="0" applyNumberFormat="1" applyFont="1" applyFill="1" applyBorder="1"/>
    <xf numFmtId="3" fontId="20" fillId="5" borderId="62" xfId="0" applyNumberFormat="1" applyFont="1" applyFill="1" applyBorder="1" applyAlignment="1">
      <alignment horizontal="center"/>
    </xf>
    <xf numFmtId="3" fontId="12" fillId="8" borderId="71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7" xfId="0" applyFont="1" applyBorder="1"/>
    <xf numFmtId="0" fontId="1" fillId="0" borderId="21" xfId="0" applyFont="1" applyBorder="1"/>
    <xf numFmtId="3" fontId="20" fillId="5" borderId="61" xfId="0" applyNumberFormat="1" applyFont="1" applyFill="1" applyBorder="1"/>
    <xf numFmtId="166" fontId="20" fillId="5" borderId="23" xfId="2" applyNumberFormat="1" applyFont="1" applyFill="1" applyBorder="1"/>
    <xf numFmtId="166" fontId="20" fillId="5" borderId="23" xfId="0" applyNumberFormat="1" applyFont="1" applyFill="1" applyBorder="1"/>
    <xf numFmtId="3" fontId="20" fillId="4" borderId="62" xfId="0" applyNumberFormat="1" applyFont="1" applyFill="1" applyBorder="1"/>
    <xf numFmtId="166" fontId="20" fillId="4" borderId="28" xfId="0" applyNumberFormat="1" applyFont="1" applyFill="1" applyBorder="1"/>
    <xf numFmtId="3" fontId="20" fillId="4" borderId="64" xfId="0" applyNumberFormat="1" applyFont="1" applyFill="1" applyBorder="1"/>
    <xf numFmtId="166" fontId="20" fillId="4" borderId="36" xfId="0" applyNumberFormat="1" applyFont="1" applyFill="1" applyBorder="1"/>
    <xf numFmtId="166" fontId="20" fillId="3" borderId="29" xfId="2" applyNumberFormat="1" applyFont="1" applyFill="1" applyBorder="1"/>
    <xf numFmtId="3" fontId="9" fillId="4" borderId="67" xfId="0" applyNumberFormat="1" applyFont="1" applyFill="1" applyBorder="1" applyAlignment="1">
      <alignment horizontal="center"/>
    </xf>
    <xf numFmtId="1" fontId="21" fillId="9" borderId="10" xfId="0" applyNumberFormat="1" applyFont="1" applyFill="1" applyBorder="1" applyAlignment="1">
      <alignment horizontal="center"/>
    </xf>
    <xf numFmtId="167" fontId="21" fillId="9" borderId="9" xfId="0" applyNumberFormat="1" applyFont="1" applyFill="1" applyBorder="1" applyAlignment="1">
      <alignment horizontal="center"/>
    </xf>
    <xf numFmtId="10" fontId="21" fillId="9" borderId="9" xfId="2" applyNumberFormat="1" applyFont="1" applyFill="1" applyBorder="1" applyAlignment="1">
      <alignment horizontal="center"/>
    </xf>
    <xf numFmtId="0" fontId="0" fillId="9" borderId="9" xfId="0" applyFill="1" applyBorder="1" applyAlignment="1">
      <alignment wrapText="1"/>
    </xf>
    <xf numFmtId="0" fontId="22" fillId="9" borderId="53" xfId="0" applyFont="1" applyFill="1" applyBorder="1" applyAlignment="1">
      <alignment horizontal="right"/>
    </xf>
    <xf numFmtId="9" fontId="0" fillId="9" borderId="0" xfId="0" applyNumberFormat="1" applyFill="1" applyAlignment="1">
      <alignment horizontal="center"/>
    </xf>
    <xf numFmtId="1" fontId="23" fillId="9" borderId="52" xfId="0" applyNumberFormat="1" applyFont="1" applyFill="1" applyBorder="1" applyAlignment="1">
      <alignment horizontal="center" vertical="center"/>
    </xf>
    <xf numFmtId="167" fontId="23" fillId="9" borderId="50" xfId="0" applyNumberFormat="1" applyFont="1" applyFill="1" applyBorder="1" applyAlignment="1">
      <alignment horizontal="center"/>
    </xf>
    <xf numFmtId="9" fontId="0" fillId="9" borderId="50" xfId="0" applyNumberFormat="1" applyFill="1" applyBorder="1" applyAlignment="1">
      <alignment horizontal="center"/>
    </xf>
    <xf numFmtId="0" fontId="18" fillId="9" borderId="50" xfId="0" applyFont="1" applyFill="1" applyBorder="1" applyAlignment="1">
      <alignment wrapText="1"/>
    </xf>
    <xf numFmtId="0" fontId="22" fillId="9" borderId="51" xfId="0" applyFont="1" applyFill="1" applyBorder="1" applyAlignment="1">
      <alignment horizontal="right"/>
    </xf>
    <xf numFmtId="1" fontId="0" fillId="9" borderId="36" xfId="0" applyNumberFormat="1" applyFill="1" applyBorder="1" applyAlignment="1">
      <alignment horizontal="center" vertical="center"/>
    </xf>
    <xf numFmtId="0" fontId="0" fillId="9" borderId="35" xfId="0" applyFill="1" applyBorder="1" applyAlignment="1">
      <alignment horizontal="center"/>
    </xf>
    <xf numFmtId="166" fontId="0" fillId="9" borderId="35" xfId="0" applyNumberFormat="1" applyFill="1" applyBorder="1"/>
    <xf numFmtId="0" fontId="18" fillId="9" borderId="35" xfId="0" applyFont="1" applyFill="1" applyBorder="1" applyAlignment="1">
      <alignment wrapText="1"/>
    </xf>
    <xf numFmtId="0" fontId="24" fillId="9" borderId="35" xfId="0" applyFont="1" applyFill="1" applyBorder="1" applyAlignment="1">
      <alignment horizontal="center"/>
    </xf>
    <xf numFmtId="0" fontId="22" fillId="9" borderId="64" xfId="0" applyFont="1" applyFill="1" applyBorder="1"/>
    <xf numFmtId="0" fontId="0" fillId="9" borderId="50" xfId="0" applyFill="1" applyBorder="1" applyAlignment="1">
      <alignment horizontal="center"/>
    </xf>
    <xf numFmtId="166" fontId="0" fillId="9" borderId="50" xfId="0" applyNumberFormat="1" applyFill="1" applyBorder="1" applyAlignment="1">
      <alignment horizontal="center"/>
    </xf>
    <xf numFmtId="10" fontId="0" fillId="9" borderId="50" xfId="0" applyNumberFormat="1" applyFill="1" applyBorder="1" applyAlignment="1">
      <alignment horizontal="center"/>
    </xf>
    <xf numFmtId="0" fontId="18" fillId="9" borderId="50" xfId="0" applyFont="1" applyFill="1" applyBorder="1" applyAlignment="1">
      <alignment horizontal="left" wrapText="1"/>
    </xf>
    <xf numFmtId="167" fontId="23" fillId="9" borderId="50" xfId="0" applyNumberFormat="1" applyFont="1" applyFill="1" applyBorder="1" applyAlignment="1">
      <alignment horizontal="center" vertical="center"/>
    </xf>
    <xf numFmtId="9" fontId="0" fillId="9" borderId="50" xfId="0" applyNumberFormat="1" applyFill="1" applyBorder="1" applyAlignment="1">
      <alignment horizontal="center" vertical="center"/>
    </xf>
    <xf numFmtId="166" fontId="0" fillId="9" borderId="50" xfId="0" applyNumberFormat="1" applyFill="1" applyBorder="1" applyAlignment="1">
      <alignment horizontal="center" vertical="center"/>
    </xf>
    <xf numFmtId="1" fontId="23" fillId="9" borderId="74" xfId="0" applyNumberFormat="1" applyFont="1" applyFill="1" applyBorder="1" applyAlignment="1">
      <alignment horizontal="center" vertical="center"/>
    </xf>
    <xf numFmtId="167" fontId="23" fillId="9" borderId="75" xfId="0" applyNumberFormat="1" applyFont="1" applyFill="1" applyBorder="1" applyAlignment="1">
      <alignment horizontal="center" vertical="center"/>
    </xf>
    <xf numFmtId="10" fontId="0" fillId="9" borderId="75" xfId="0" applyNumberFormat="1" applyFill="1" applyBorder="1" applyAlignment="1">
      <alignment horizontal="center"/>
    </xf>
    <xf numFmtId="0" fontId="18" fillId="9" borderId="75" xfId="0" applyFont="1" applyFill="1" applyBorder="1" applyAlignment="1">
      <alignment wrapText="1"/>
    </xf>
    <xf numFmtId="0" fontId="0" fillId="9" borderId="75" xfId="0" applyFill="1" applyBorder="1" applyAlignment="1">
      <alignment horizontal="center"/>
    </xf>
    <xf numFmtId="0" fontId="22" fillId="9" borderId="76" xfId="0" applyFont="1" applyFill="1" applyBorder="1" applyAlignment="1">
      <alignment horizontal="right"/>
    </xf>
    <xf numFmtId="0" fontId="25" fillId="10" borderId="77" xfId="0" applyFont="1" applyFill="1" applyBorder="1" applyAlignment="1">
      <alignment horizontal="center" vertical="center"/>
    </xf>
    <xf numFmtId="0" fontId="17" fillId="10" borderId="44" xfId="0" applyFont="1" applyFill="1" applyBorder="1" applyAlignment="1">
      <alignment horizontal="center" wrapText="1"/>
    </xf>
    <xf numFmtId="0" fontId="17" fillId="10" borderId="44" xfId="0" applyFont="1" applyFill="1" applyBorder="1" applyAlignment="1">
      <alignment horizontal="center" vertical="center"/>
    </xf>
    <xf numFmtId="0" fontId="17" fillId="10" borderId="71" xfId="0" applyFont="1" applyFill="1" applyBorder="1" applyAlignment="1">
      <alignment horizontal="center" vertical="center"/>
    </xf>
    <xf numFmtId="0" fontId="23" fillId="9" borderId="44" xfId="0" applyFont="1" applyFill="1" applyBorder="1" applyAlignment="1">
      <alignment horizontal="center"/>
    </xf>
    <xf numFmtId="0" fontId="24" fillId="9" borderId="44" xfId="0" applyFont="1" applyFill="1" applyBorder="1" applyAlignment="1">
      <alignment horizontal="center"/>
    </xf>
    <xf numFmtId="0" fontId="22" fillId="9" borderId="71" xfId="0" applyFont="1" applyFill="1" applyBorder="1"/>
    <xf numFmtId="0" fontId="23" fillId="9" borderId="79" xfId="0" applyFont="1" applyFill="1" applyBorder="1" applyAlignment="1">
      <alignment horizontal="center"/>
    </xf>
    <xf numFmtId="0" fontId="0" fillId="9" borderId="79" xfId="0" applyFill="1" applyBorder="1" applyAlignment="1">
      <alignment horizontal="center"/>
    </xf>
    <xf numFmtId="0" fontId="22" fillId="9" borderId="80" xfId="0" applyFont="1" applyFill="1" applyBorder="1" applyAlignment="1">
      <alignment horizontal="right"/>
    </xf>
    <xf numFmtId="0" fontId="23" fillId="9" borderId="50" xfId="0" applyFont="1" applyFill="1" applyBorder="1" applyAlignment="1">
      <alignment horizontal="center"/>
    </xf>
    <xf numFmtId="0" fontId="23" fillId="9" borderId="75" xfId="0" applyFont="1" applyFill="1" applyBorder="1" applyAlignment="1">
      <alignment horizontal="center"/>
    </xf>
    <xf numFmtId="0" fontId="17" fillId="10" borderId="77" xfId="0" applyFont="1" applyFill="1" applyBorder="1" applyAlignment="1">
      <alignment horizontal="center" wrapText="1"/>
    </xf>
    <xf numFmtId="0" fontId="1" fillId="11" borderId="0" xfId="0" applyFont="1" applyFill="1"/>
    <xf numFmtId="0" fontId="0" fillId="0" borderId="0" xfId="0" applyBorder="1"/>
    <xf numFmtId="0" fontId="17" fillId="10" borderId="60" xfId="0" applyFont="1" applyFill="1" applyBorder="1" applyAlignment="1">
      <alignment horizontal="right"/>
    </xf>
    <xf numFmtId="0" fontId="0" fillId="0" borderId="81" xfId="0" applyBorder="1" applyAlignment="1">
      <alignment horizontal="right"/>
    </xf>
    <xf numFmtId="0" fontId="17" fillId="0" borderId="82" xfId="0" applyFont="1" applyBorder="1" applyAlignment="1">
      <alignment horizontal="right"/>
    </xf>
    <xf numFmtId="0" fontId="0" fillId="0" borderId="60" xfId="0" applyBorder="1" applyAlignment="1">
      <alignment horizontal="right"/>
    </xf>
    <xf numFmtId="0" fontId="0" fillId="0" borderId="82" xfId="0" applyBorder="1" applyAlignment="1">
      <alignment horizontal="right"/>
    </xf>
    <xf numFmtId="0" fontId="0" fillId="10" borderId="83" xfId="0" applyFill="1" applyBorder="1"/>
    <xf numFmtId="0" fontId="22" fillId="0" borderId="84" xfId="0" applyFont="1" applyBorder="1" applyAlignment="1">
      <alignment horizontal="center"/>
    </xf>
    <xf numFmtId="0" fontId="29" fillId="0" borderId="85" xfId="0" applyFont="1" applyBorder="1" applyAlignment="1">
      <alignment horizontal="center"/>
    </xf>
    <xf numFmtId="0" fontId="22" fillId="0" borderId="83" xfId="0" applyFont="1" applyBorder="1" applyAlignment="1">
      <alignment horizontal="center"/>
    </xf>
    <xf numFmtId="0" fontId="27" fillId="0" borderId="83" xfId="0" applyFont="1" applyBorder="1" applyAlignment="1">
      <alignment horizontal="center"/>
    </xf>
    <xf numFmtId="10" fontId="30" fillId="0" borderId="85" xfId="2" applyNumberFormat="1" applyFont="1" applyBorder="1" applyAlignment="1">
      <alignment horizontal="center"/>
    </xf>
    <xf numFmtId="3" fontId="1" fillId="5" borderId="11" xfId="0" applyNumberFormat="1" applyFont="1" applyFill="1" applyBorder="1" applyAlignment="1">
      <alignment horizontal="right"/>
    </xf>
    <xf numFmtId="167" fontId="23" fillId="0" borderId="74" xfId="0" applyNumberFormat="1" applyFont="1" applyFill="1" applyBorder="1" applyAlignment="1">
      <alignment horizontal="center"/>
    </xf>
    <xf numFmtId="167" fontId="23" fillId="0" borderId="52" xfId="0" applyNumberFormat="1" applyFont="1" applyFill="1" applyBorder="1" applyAlignment="1">
      <alignment horizontal="center"/>
    </xf>
    <xf numFmtId="167" fontId="23" fillId="0" borderId="78" xfId="0" applyNumberFormat="1" applyFont="1" applyFill="1" applyBorder="1" applyAlignment="1">
      <alignment horizontal="center"/>
    </xf>
    <xf numFmtId="167" fontId="23" fillId="9" borderId="77" xfId="0" applyNumberFormat="1" applyFont="1" applyFill="1" applyBorder="1" applyAlignment="1">
      <alignment horizontal="center"/>
    </xf>
    <xf numFmtId="0" fontId="30" fillId="10" borderId="44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2" fillId="9" borderId="0" xfId="0" applyFont="1" applyFill="1" applyBorder="1" applyAlignment="1">
      <alignment horizontal="right"/>
    </xf>
    <xf numFmtId="0" fontId="3" fillId="0" borderId="34" xfId="1" applyFont="1" applyFill="1" applyBorder="1" applyAlignment="1">
      <alignment vertical="top" wrapText="1"/>
    </xf>
    <xf numFmtId="3" fontId="9" fillId="0" borderId="35" xfId="0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165" fontId="9" fillId="0" borderId="35" xfId="0" applyNumberFormat="1" applyFont="1" applyFill="1" applyBorder="1"/>
    <xf numFmtId="0" fontId="3" fillId="0" borderId="36" xfId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 vertical="center"/>
    </xf>
    <xf numFmtId="4" fontId="9" fillId="0" borderId="35" xfId="0" applyNumberFormat="1" applyFont="1" applyFill="1" applyBorder="1"/>
    <xf numFmtId="3" fontId="32" fillId="8" borderId="29" xfId="1" applyNumberFormat="1" applyFont="1" applyFill="1" applyBorder="1"/>
    <xf numFmtId="3" fontId="32" fillId="8" borderId="30" xfId="1" applyNumberFormat="1" applyFont="1" applyFill="1" applyBorder="1"/>
    <xf numFmtId="3" fontId="32" fillId="8" borderId="63" xfId="1" applyNumberFormat="1" applyFont="1" applyFill="1" applyBorder="1"/>
    <xf numFmtId="166" fontId="32" fillId="8" borderId="31" xfId="1" applyNumberFormat="1" applyFont="1" applyFill="1" applyBorder="1"/>
    <xf numFmtId="3" fontId="33" fillId="8" borderId="32" xfId="1" applyNumberFormat="1" applyFont="1" applyFill="1" applyBorder="1"/>
    <xf numFmtId="3" fontId="33" fillId="8" borderId="8" xfId="1" applyNumberFormat="1" applyFont="1" applyFill="1" applyBorder="1"/>
    <xf numFmtId="3" fontId="33" fillId="8" borderId="49" xfId="1" applyNumberFormat="1" applyFont="1" applyFill="1" applyBorder="1"/>
    <xf numFmtId="166" fontId="33" fillId="8" borderId="13" xfId="1" applyNumberFormat="1" applyFont="1" applyFill="1" applyBorder="1"/>
    <xf numFmtId="3" fontId="20" fillId="5" borderId="64" xfId="0" applyNumberFormat="1" applyFont="1" applyFill="1" applyBorder="1"/>
    <xf numFmtId="166" fontId="20" fillId="5" borderId="36" xfId="0" applyNumberFormat="1" applyFont="1" applyFill="1" applyBorder="1"/>
    <xf numFmtId="3" fontId="20" fillId="4" borderId="63" xfId="0" applyNumberFormat="1" applyFont="1" applyFill="1" applyBorder="1"/>
    <xf numFmtId="166" fontId="20" fillId="4" borderId="31" xfId="0" applyNumberFormat="1" applyFont="1" applyFill="1" applyBorder="1"/>
    <xf numFmtId="3" fontId="20" fillId="5" borderId="65" xfId="0" applyNumberFormat="1" applyFont="1" applyFill="1" applyBorder="1"/>
    <xf numFmtId="166" fontId="20" fillId="5" borderId="42" xfId="0" applyNumberFormat="1" applyFont="1" applyFill="1" applyBorder="1"/>
    <xf numFmtId="3" fontId="20" fillId="5" borderId="22" xfId="0" applyNumberFormat="1" applyFont="1" applyFill="1" applyBorder="1"/>
    <xf numFmtId="3" fontId="20" fillId="3" borderId="44" xfId="0" applyNumberFormat="1" applyFont="1" applyFill="1" applyBorder="1" applyAlignment="1">
      <alignment horizontal="center"/>
    </xf>
    <xf numFmtId="3" fontId="20" fillId="4" borderId="12" xfId="0" applyNumberFormat="1" applyFont="1" applyFill="1" applyBorder="1"/>
    <xf numFmtId="166" fontId="20" fillId="4" borderId="18" xfId="2" applyNumberFormat="1" applyFont="1" applyFill="1" applyBorder="1"/>
    <xf numFmtId="3" fontId="20" fillId="5" borderId="62" xfId="0" applyNumberFormat="1" applyFont="1" applyFill="1" applyBorder="1"/>
    <xf numFmtId="3" fontId="20" fillId="4" borderId="65" xfId="0" applyNumberFormat="1" applyFont="1" applyFill="1" applyBorder="1"/>
    <xf numFmtId="3" fontId="20" fillId="4" borderId="61" xfId="0" applyNumberFormat="1" applyFont="1" applyFill="1" applyBorder="1"/>
    <xf numFmtId="0" fontId="34" fillId="0" borderId="72" xfId="0" applyFont="1" applyBorder="1"/>
    <xf numFmtId="3" fontId="20" fillId="3" borderId="69" xfId="0" applyNumberFormat="1" applyFont="1" applyFill="1" applyBorder="1" applyAlignment="1">
      <alignment horizontal="center"/>
    </xf>
    <xf numFmtId="166" fontId="20" fillId="5" borderId="23" xfId="2" applyNumberFormat="1" applyFont="1" applyFill="1" applyBorder="1" applyAlignment="1">
      <alignment horizontal="center"/>
    </xf>
    <xf numFmtId="166" fontId="20" fillId="3" borderId="3" xfId="2" applyNumberFormat="1" applyFont="1" applyFill="1" applyBorder="1" applyAlignment="1">
      <alignment horizontal="center"/>
    </xf>
    <xf numFmtId="166" fontId="20" fillId="4" borderId="42" xfId="2" applyNumberFormat="1" applyFont="1" applyFill="1" applyBorder="1" applyAlignment="1">
      <alignment horizontal="center"/>
    </xf>
    <xf numFmtId="166" fontId="20" fillId="4" borderId="23" xfId="2" applyNumberFormat="1" applyFont="1" applyFill="1" applyBorder="1" applyAlignment="1">
      <alignment horizontal="center"/>
    </xf>
    <xf numFmtId="0" fontId="34" fillId="0" borderId="73" xfId="0" applyFont="1" applyBorder="1" applyAlignment="1">
      <alignment horizontal="center"/>
    </xf>
    <xf numFmtId="166" fontId="20" fillId="4" borderId="36" xfId="2" applyNumberFormat="1" applyFont="1" applyFill="1" applyBorder="1" applyAlignment="1">
      <alignment horizontal="center"/>
    </xf>
    <xf numFmtId="166" fontId="9" fillId="4" borderId="23" xfId="2" applyNumberFormat="1" applyFont="1" applyFill="1" applyBorder="1" applyAlignment="1">
      <alignment horizontal="center"/>
    </xf>
    <xf numFmtId="3" fontId="20" fillId="3" borderId="2" xfId="0" applyNumberFormat="1" applyFont="1" applyFill="1" applyBorder="1" applyAlignment="1">
      <alignment horizontal="center"/>
    </xf>
    <xf numFmtId="3" fontId="20" fillId="3" borderId="71" xfId="0" applyNumberFormat="1" applyFont="1" applyFill="1" applyBorder="1" applyAlignment="1">
      <alignment horizontal="center"/>
    </xf>
    <xf numFmtId="3" fontId="9" fillId="4" borderId="40" xfId="0" applyNumberFormat="1" applyFont="1" applyFill="1" applyBorder="1" applyAlignment="1">
      <alignment horizontal="center"/>
    </xf>
    <xf numFmtId="3" fontId="9" fillId="4" borderId="41" xfId="0" applyNumberFormat="1" applyFont="1" applyFill="1" applyBorder="1" applyAlignment="1">
      <alignment horizontal="center"/>
    </xf>
    <xf numFmtId="3" fontId="9" fillId="4" borderId="70" xfId="0" applyNumberFormat="1" applyFont="1" applyFill="1" applyBorder="1" applyAlignment="1">
      <alignment horizontal="center"/>
    </xf>
    <xf numFmtId="3" fontId="20" fillId="4" borderId="65" xfId="0" applyNumberFormat="1" applyFont="1" applyFill="1" applyBorder="1" applyAlignment="1">
      <alignment horizontal="center"/>
    </xf>
    <xf numFmtId="3" fontId="9" fillId="4" borderId="22" xfId="0" applyNumberFormat="1" applyFont="1" applyFill="1" applyBorder="1" applyAlignment="1">
      <alignment horizontal="center"/>
    </xf>
    <xf numFmtId="3" fontId="20" fillId="4" borderId="61" xfId="0" applyNumberFormat="1" applyFont="1" applyFill="1" applyBorder="1" applyAlignment="1">
      <alignment horizontal="center"/>
    </xf>
    <xf numFmtId="3" fontId="9" fillId="4" borderId="16" xfId="0" applyNumberFormat="1" applyFont="1" applyFill="1" applyBorder="1" applyAlignment="1">
      <alignment horizontal="center"/>
    </xf>
    <xf numFmtId="3" fontId="9" fillId="5" borderId="21" xfId="0" applyNumberFormat="1" applyFont="1" applyFill="1" applyBorder="1" applyAlignment="1">
      <alignment horizontal="center" vertical="center"/>
    </xf>
    <xf numFmtId="3" fontId="9" fillId="4" borderId="26" xfId="0" applyNumberFormat="1" applyFont="1" applyFill="1" applyBorder="1" applyAlignment="1">
      <alignment horizontal="center"/>
    </xf>
    <xf numFmtId="3" fontId="20" fillId="3" borderId="29" xfId="0" applyNumberFormat="1" applyFont="1" applyFill="1" applyBorder="1" applyAlignment="1">
      <alignment horizontal="center"/>
    </xf>
    <xf numFmtId="3" fontId="20" fillId="3" borderId="32" xfId="0" applyNumberFormat="1" applyFont="1" applyFill="1" applyBorder="1" applyAlignment="1">
      <alignment horizontal="center"/>
    </xf>
    <xf numFmtId="3" fontId="20" fillId="3" borderId="35" xfId="0" applyNumberFormat="1" applyFont="1" applyFill="1" applyBorder="1" applyAlignment="1">
      <alignment horizontal="center"/>
    </xf>
    <xf numFmtId="3" fontId="20" fillId="6" borderId="29" xfId="0" applyNumberFormat="1" applyFont="1" applyFill="1" applyBorder="1" applyAlignment="1">
      <alignment horizontal="center"/>
    </xf>
    <xf numFmtId="3" fontId="20" fillId="5" borderId="35" xfId="0" applyNumberFormat="1" applyFont="1" applyFill="1" applyBorder="1" applyAlignment="1">
      <alignment horizontal="center"/>
    </xf>
    <xf numFmtId="3" fontId="20" fillId="3" borderId="5" xfId="0" applyNumberFormat="1" applyFont="1" applyFill="1" applyBorder="1" applyAlignment="1">
      <alignment horizontal="center"/>
    </xf>
    <xf numFmtId="3" fontId="20" fillId="3" borderId="33" xfId="0" applyNumberFormat="1" applyFont="1" applyFill="1" applyBorder="1" applyAlignment="1">
      <alignment horizontal="center"/>
    </xf>
    <xf numFmtId="3" fontId="20" fillId="4" borderId="29" xfId="0" applyNumberFormat="1" applyFont="1" applyFill="1" applyBorder="1" applyAlignment="1">
      <alignment horizontal="center"/>
    </xf>
    <xf numFmtId="3" fontId="20" fillId="5" borderId="40" xfId="0" applyNumberFormat="1" applyFont="1" applyFill="1" applyBorder="1" applyAlignment="1">
      <alignment horizontal="center"/>
    </xf>
    <xf numFmtId="3" fontId="20" fillId="5" borderId="21" xfId="0" applyNumberFormat="1" applyFont="1" applyFill="1" applyBorder="1" applyAlignment="1">
      <alignment horizontal="center"/>
    </xf>
    <xf numFmtId="3" fontId="9" fillId="3" borderId="32" xfId="0" applyNumberFormat="1" applyFont="1" applyFill="1" applyBorder="1" applyAlignment="1">
      <alignment horizontal="center"/>
    </xf>
    <xf numFmtId="3" fontId="32" fillId="8" borderId="29" xfId="1" applyNumberFormat="1" applyFont="1" applyFill="1" applyBorder="1" applyAlignment="1">
      <alignment horizontal="center"/>
    </xf>
    <xf numFmtId="3" fontId="33" fillId="8" borderId="32" xfId="1" applyNumberFormat="1" applyFont="1" applyFill="1" applyBorder="1" applyAlignment="1">
      <alignment horizontal="center"/>
    </xf>
    <xf numFmtId="0" fontId="1" fillId="9" borderId="0" xfId="1" applyFont="1" applyFill="1" applyBorder="1" applyAlignment="1">
      <alignment horizontal="center"/>
    </xf>
    <xf numFmtId="0" fontId="14" fillId="9" borderId="0" xfId="1" applyFont="1" applyFill="1" applyBorder="1" applyAlignment="1">
      <alignment horizontal="center"/>
    </xf>
    <xf numFmtId="3" fontId="5" fillId="4" borderId="0" xfId="1" applyNumberFormat="1" applyFont="1" applyFill="1" applyBorder="1" applyAlignment="1">
      <alignment horizontal="center"/>
    </xf>
    <xf numFmtId="0" fontId="1" fillId="0" borderId="67" xfId="0" applyFont="1" applyBorder="1" applyAlignment="1">
      <alignment horizontal="center"/>
    </xf>
    <xf numFmtId="3" fontId="20" fillId="4" borderId="35" xfId="0" applyNumberFormat="1" applyFont="1" applyFill="1" applyBorder="1" applyAlignment="1">
      <alignment horizontal="center"/>
    </xf>
    <xf numFmtId="3" fontId="11" fillId="3" borderId="4" xfId="0" applyNumberFormat="1" applyFont="1" applyFill="1" applyBorder="1" applyAlignment="1">
      <alignment horizontal="left" wrapText="1"/>
    </xf>
    <xf numFmtId="3" fontId="1" fillId="3" borderId="31" xfId="0" applyNumberFormat="1" applyFont="1" applyFill="1" applyBorder="1" applyAlignment="1">
      <alignment horizontal="left" wrapText="1"/>
    </xf>
    <xf numFmtId="0" fontId="12" fillId="7" borderId="4" xfId="1" applyFont="1" applyFill="1" applyBorder="1" applyAlignment="1">
      <alignment horizontal="left" wrapText="1"/>
    </xf>
    <xf numFmtId="0" fontId="12" fillId="7" borderId="5" xfId="1" applyFont="1" applyFill="1" applyBorder="1" applyAlignment="1">
      <alignment horizontal="left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3" fillId="0" borderId="60" xfId="1" applyFont="1" applyBorder="1" applyAlignment="1">
      <alignment horizontal="center" vertical="top" wrapText="1"/>
    </xf>
    <xf numFmtId="0" fontId="3" fillId="0" borderId="47" xfId="1" applyFont="1" applyBorder="1" applyAlignment="1">
      <alignment horizontal="center" vertical="top" wrapText="1"/>
    </xf>
    <xf numFmtId="0" fontId="3" fillId="0" borderId="0" xfId="1" applyFont="1" applyFill="1" applyBorder="1" applyAlignment="1">
      <alignment vertical="top" wrapText="1"/>
    </xf>
    <xf numFmtId="3" fontId="11" fillId="3" borderId="4" xfId="0" applyNumberFormat="1" applyFont="1" applyFill="1" applyBorder="1" applyAlignment="1">
      <alignment horizontal="right" wrapText="1"/>
    </xf>
    <xf numFmtId="3" fontId="11" fillId="3" borderId="5" xfId="0" applyNumberFormat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>
      <alignment horizontal="right"/>
    </xf>
    <xf numFmtId="3" fontId="11" fillId="3" borderId="5" xfId="0" applyNumberFormat="1" applyFont="1" applyFill="1" applyBorder="1" applyAlignment="1">
      <alignment horizontal="right"/>
    </xf>
    <xf numFmtId="3" fontId="11" fillId="6" borderId="4" xfId="0" applyNumberFormat="1" applyFont="1" applyFill="1" applyBorder="1" applyAlignment="1">
      <alignment horizontal="left" wrapText="1"/>
    </xf>
    <xf numFmtId="3" fontId="11" fillId="6" borderId="5" xfId="0" applyNumberFormat="1" applyFont="1" applyFill="1" applyBorder="1" applyAlignment="1">
      <alignment horizontal="left" wrapText="1"/>
    </xf>
  </cellXfs>
  <cellStyles count="3">
    <cellStyle name="Normale" xfId="0" builtinId="0"/>
    <cellStyle name="Normale 12" xfId="1" xr:uid="{00000000-0005-0000-0000-000001000000}"/>
    <cellStyle name="Percentuale" xfId="2" builtinId="5"/>
  </cellStyles>
  <dxfs count="0"/>
  <tableStyles count="1" defaultTableStyle="TableStyleMedium2" defaultPivotStyle="PivotStyleLight16">
    <tableStyle name="Invisible" pivot="0" table="0" count="0" xr9:uid="{2EF32581-FC3A-427D-BF65-890E428A300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7</xdr:row>
      <xdr:rowOff>23812</xdr:rowOff>
    </xdr:from>
    <xdr:to>
      <xdr:col>2</xdr:col>
      <xdr:colOff>445293</xdr:colOff>
      <xdr:row>8</xdr:row>
      <xdr:rowOff>61912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" y="709612"/>
          <a:ext cx="907256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35718</xdr:colOff>
      <xdr:row>61</xdr:row>
      <xdr:rowOff>35720</xdr:rowOff>
    </xdr:from>
    <xdr:to>
      <xdr:col>2</xdr:col>
      <xdr:colOff>579770</xdr:colOff>
      <xdr:row>62</xdr:row>
      <xdr:rowOff>23812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968" y="11858626"/>
          <a:ext cx="1044115" cy="297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12"/>
  <sheetViews>
    <sheetView showGridLines="0" tabSelected="1" topLeftCell="A13" zoomScale="80" zoomScaleNormal="80" workbookViewId="0">
      <selection activeCell="M58" sqref="M58"/>
    </sheetView>
  </sheetViews>
  <sheetFormatPr baseColWidth="10" defaultColWidth="9.1640625" defaultRowHeight="14"/>
  <cols>
    <col min="1" max="1" width="6.83203125" style="1" customWidth="1"/>
    <col min="2" max="2" width="7.33203125" style="1" customWidth="1"/>
    <col min="3" max="3" width="44.6640625" style="1" customWidth="1"/>
    <col min="4" max="4" width="9.5" style="202" customWidth="1"/>
    <col min="5" max="5" width="9.1640625" style="1" hidden="1" customWidth="1"/>
    <col min="6" max="6" width="9.1640625" style="1"/>
    <col min="7" max="7" width="8.5" style="1" customWidth="1"/>
    <col min="8" max="8" width="8.5" style="1" hidden="1" customWidth="1"/>
    <col min="9" max="9" width="8.5" style="1" customWidth="1"/>
    <col min="10" max="11" width="9.1640625" style="1"/>
    <col min="12" max="12" width="5.1640625" style="1" customWidth="1"/>
    <col min="13" max="13" width="30" style="1" customWidth="1"/>
    <col min="14" max="14" width="9.1640625" style="1"/>
    <col min="15" max="15" width="9.83203125" style="1" customWidth="1"/>
    <col min="16" max="16" width="9.1640625" style="1"/>
    <col min="17" max="17" width="11.1640625" style="1" customWidth="1"/>
    <col min="18" max="18" width="9.5" style="1" bestFit="1" customWidth="1"/>
    <col min="19" max="20" width="9.1640625" style="1"/>
    <col min="21" max="21" width="9.5" style="1" bestFit="1" customWidth="1"/>
    <col min="22" max="22" width="9.1640625" style="1"/>
    <col min="23" max="23" width="9.5" style="1" bestFit="1" customWidth="1"/>
    <col min="24" max="16384" width="9.1640625" style="1"/>
  </cols>
  <sheetData>
    <row r="2" spans="2:19" ht="18">
      <c r="C2" s="129" t="s">
        <v>136</v>
      </c>
    </row>
    <row r="3" spans="2:19">
      <c r="C3" s="1" t="s">
        <v>120</v>
      </c>
    </row>
    <row r="4" spans="2:19">
      <c r="C4" s="1" t="s">
        <v>137</v>
      </c>
    </row>
    <row r="6" spans="2:19" ht="24" thickBot="1">
      <c r="D6" s="2" t="s">
        <v>0</v>
      </c>
    </row>
    <row r="7" spans="2:19" ht="15" customHeight="1" thickBot="1">
      <c r="B7" s="350" t="s">
        <v>114</v>
      </c>
      <c r="C7" s="351"/>
      <c r="D7" s="351"/>
      <c r="E7" s="351"/>
      <c r="F7" s="351"/>
      <c r="G7" s="351"/>
      <c r="H7" s="351"/>
      <c r="I7" s="351"/>
      <c r="J7" s="351"/>
      <c r="K7" s="352"/>
      <c r="M7" s="153" t="s">
        <v>118</v>
      </c>
      <c r="N7" s="147"/>
      <c r="O7" s="148"/>
    </row>
    <row r="8" spans="2:19" s="4" customFormat="1" ht="35.5" customHeight="1">
      <c r="B8" s="348" t="s">
        <v>1</v>
      </c>
      <c r="C8" s="349"/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154" t="s">
        <v>7</v>
      </c>
      <c r="J8" s="353" t="s">
        <v>8</v>
      </c>
      <c r="K8" s="354"/>
      <c r="L8"/>
      <c r="M8" s="140"/>
      <c r="N8" s="141" t="s">
        <v>104</v>
      </c>
      <c r="O8" s="141" t="s">
        <v>105</v>
      </c>
    </row>
    <row r="9" spans="2:19" s="8" customFormat="1" ht="19.5" customHeight="1" thickBot="1">
      <c r="B9" s="5" t="s">
        <v>117</v>
      </c>
      <c r="C9" s="6"/>
      <c r="D9" s="7" t="s">
        <v>115</v>
      </c>
      <c r="E9" s="7" t="s">
        <v>115</v>
      </c>
      <c r="F9" s="7" t="s">
        <v>10</v>
      </c>
      <c r="G9" s="7" t="s">
        <v>11</v>
      </c>
      <c r="H9" s="7" t="s">
        <v>12</v>
      </c>
      <c r="I9" s="178" t="s">
        <v>13</v>
      </c>
      <c r="J9" s="180" t="s">
        <v>14</v>
      </c>
      <c r="K9" s="138" t="s">
        <v>113</v>
      </c>
      <c r="M9" s="152" t="s">
        <v>119</v>
      </c>
      <c r="N9" s="142" t="s">
        <v>113</v>
      </c>
      <c r="O9" s="143">
        <v>0.35</v>
      </c>
    </row>
    <row r="10" spans="2:19" s="11" customFormat="1" ht="15" thickBot="1">
      <c r="B10" s="9" t="s">
        <v>15</v>
      </c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21</v>
      </c>
      <c r="I10" s="179" t="s">
        <v>22</v>
      </c>
      <c r="J10" s="181" t="s">
        <v>23</v>
      </c>
      <c r="K10" s="10" t="s">
        <v>24</v>
      </c>
      <c r="M10" s="152" t="s">
        <v>141</v>
      </c>
      <c r="N10" s="142" t="s">
        <v>113</v>
      </c>
      <c r="O10" s="143">
        <v>0.01</v>
      </c>
    </row>
    <row r="11" spans="2:19" ht="16" thickBot="1">
      <c r="B11" s="12" t="s">
        <v>25</v>
      </c>
      <c r="C11" s="13" t="s">
        <v>26</v>
      </c>
      <c r="D11" s="323"/>
      <c r="E11" s="15"/>
      <c r="F11" s="14"/>
      <c r="G11" s="15"/>
      <c r="H11" s="14"/>
      <c r="I11" s="15"/>
      <c r="J11" s="182"/>
      <c r="K11" s="133"/>
      <c r="M11" s="152" t="s">
        <v>138</v>
      </c>
      <c r="N11" s="142" t="s">
        <v>205</v>
      </c>
      <c r="O11" s="144">
        <v>3.5</v>
      </c>
    </row>
    <row r="12" spans="2:19" ht="14.25" customHeight="1">
      <c r="B12" s="16" t="s">
        <v>27</v>
      </c>
      <c r="C12" s="17" t="s">
        <v>28</v>
      </c>
      <c r="D12" s="170"/>
      <c r="E12" s="19"/>
      <c r="F12" s="18">
        <v>5387</v>
      </c>
      <c r="G12" s="19"/>
      <c r="H12" s="18"/>
      <c r="I12" s="19">
        <v>0</v>
      </c>
      <c r="J12" s="205">
        <f>D12*$P$17+E12*$P$18+F12*$P$19+G12*$P$20+H12*$P$21+I12*$P$23</f>
        <v>5387</v>
      </c>
      <c r="K12" s="206">
        <f t="shared" ref="K12:K21" si="0">IF(J12&gt;0,J12/J$24,"")</f>
        <v>0.35527012598338992</v>
      </c>
      <c r="M12" s="149"/>
      <c r="N12" s="150"/>
      <c r="O12" s="151"/>
    </row>
    <row r="13" spans="2:19" ht="14.25" customHeight="1">
      <c r="B13" s="16" t="s">
        <v>29</v>
      </c>
      <c r="C13" s="20" t="s">
        <v>145</v>
      </c>
      <c r="D13" s="324"/>
      <c r="E13" s="22"/>
      <c r="F13" s="21"/>
      <c r="G13" s="22"/>
      <c r="H13" s="21"/>
      <c r="I13" s="19">
        <v>321000</v>
      </c>
      <c r="J13" s="205">
        <f>D13*$P$17+E13*$P$18+F13*$P$19+G13*$P$20+H13*$P$21+I13*$P$23</f>
        <v>3160.5660000000003</v>
      </c>
      <c r="K13" s="207">
        <f t="shared" si="0"/>
        <v>0.20843784685331704</v>
      </c>
      <c r="M13" s="23"/>
      <c r="Q13" s="23"/>
    </row>
    <row r="14" spans="2:19" ht="14.25" customHeight="1" thickBot="1">
      <c r="B14" s="24" t="s">
        <v>30</v>
      </c>
      <c r="C14" s="25" t="s">
        <v>31</v>
      </c>
      <c r="D14" s="325"/>
      <c r="E14" s="27"/>
      <c r="F14" s="26"/>
      <c r="G14" s="27"/>
      <c r="H14" s="26"/>
      <c r="I14" s="27">
        <v>214000</v>
      </c>
      <c r="J14" s="208">
        <f>D14*$P$17+E14*$P$18+F14*$P$19+G14*$P$20+H14*$P$21+I14*$P$23</f>
        <v>2107.0440000000003</v>
      </c>
      <c r="K14" s="209">
        <f t="shared" si="0"/>
        <v>0.13895856456887803</v>
      </c>
      <c r="M14" s="23"/>
      <c r="S14" s="23"/>
    </row>
    <row r="15" spans="2:19" ht="18" customHeight="1" thickBot="1">
      <c r="B15" s="356" t="s">
        <v>32</v>
      </c>
      <c r="C15" s="357"/>
      <c r="D15" s="326">
        <f t="shared" ref="D15:J15" si="1">SUM(D11:D14)</f>
        <v>0</v>
      </c>
      <c r="E15" s="158">
        <f t="shared" si="1"/>
        <v>0</v>
      </c>
      <c r="F15" s="157">
        <f t="shared" si="1"/>
        <v>5387</v>
      </c>
      <c r="G15" s="158">
        <f t="shared" si="1"/>
        <v>0</v>
      </c>
      <c r="H15" s="157">
        <f t="shared" si="1"/>
        <v>0</v>
      </c>
      <c r="I15" s="158">
        <f t="shared" si="1"/>
        <v>535000</v>
      </c>
      <c r="J15" s="187">
        <f t="shared" si="1"/>
        <v>10654.61</v>
      </c>
      <c r="K15" s="159">
        <f t="shared" si="0"/>
        <v>0.70266653740558505</v>
      </c>
      <c r="M15" s="350" t="s">
        <v>102</v>
      </c>
      <c r="N15" s="351"/>
      <c r="O15" s="351"/>
      <c r="P15" s="351"/>
      <c r="Q15" s="352"/>
    </row>
    <row r="16" spans="2:19" ht="17" thickBot="1">
      <c r="B16" s="30"/>
      <c r="C16" s="31" t="s">
        <v>33</v>
      </c>
      <c r="D16" s="327"/>
      <c r="E16" s="161"/>
      <c r="F16" s="160">
        <f>O9*F12</f>
        <v>1885.4499999999998</v>
      </c>
      <c r="G16" s="161"/>
      <c r="H16" s="160"/>
      <c r="I16" s="161"/>
      <c r="J16" s="190">
        <f>D16*$P$17+E16*$P$18+F16*$P$19+G16*$P$20+H16*$P$21+I16*$P$23</f>
        <v>1885.4499999999998</v>
      </c>
      <c r="K16" s="162">
        <f t="shared" si="0"/>
        <v>0.12434454409418647</v>
      </c>
      <c r="M16" s="110" t="s">
        <v>103</v>
      </c>
      <c r="N16" s="111"/>
      <c r="O16" s="111" t="s">
        <v>104</v>
      </c>
      <c r="P16" s="111" t="s">
        <v>105</v>
      </c>
      <c r="Q16" s="112" t="s">
        <v>106</v>
      </c>
    </row>
    <row r="17" spans="2:17">
      <c r="B17" s="34" t="s">
        <v>34</v>
      </c>
      <c r="C17" s="35" t="s">
        <v>35</v>
      </c>
      <c r="D17" s="118"/>
      <c r="E17" s="37"/>
      <c r="F17" s="36"/>
      <c r="G17" s="37"/>
      <c r="H17" s="36"/>
      <c r="I17" s="37"/>
      <c r="J17" s="185"/>
      <c r="K17" s="136" t="str">
        <f t="shared" si="0"/>
        <v/>
      </c>
      <c r="M17" s="278"/>
      <c r="N17" s="279"/>
      <c r="O17" s="280"/>
      <c r="P17" s="281"/>
      <c r="Q17" s="282"/>
    </row>
    <row r="18" spans="2:17" ht="14.25" customHeight="1">
      <c r="B18" s="38" t="s">
        <v>36</v>
      </c>
      <c r="C18" s="39" t="s">
        <v>39</v>
      </c>
      <c r="D18" s="120"/>
      <c r="E18" s="41"/>
      <c r="F18" s="40">
        <v>1221</v>
      </c>
      <c r="G18" s="41"/>
      <c r="H18" s="40"/>
      <c r="I18" s="41"/>
      <c r="J18" s="210">
        <f>D18*$P$17+E18*$P$18+F18*$P$19+G18*$P$20+H18*$P$21+I18*$P$23</f>
        <v>1221</v>
      </c>
      <c r="K18" s="211">
        <f t="shared" si="0"/>
        <v>8.0524377914557105E-2</v>
      </c>
      <c r="M18" s="278"/>
      <c r="N18" s="279"/>
      <c r="O18" s="283"/>
      <c r="P18" s="284"/>
      <c r="Q18" s="282"/>
    </row>
    <row r="19" spans="2:17" ht="13.75" customHeight="1">
      <c r="B19" s="38" t="s">
        <v>37</v>
      </c>
      <c r="C19" s="42" t="s">
        <v>151</v>
      </c>
      <c r="D19" s="120"/>
      <c r="E19" s="41"/>
      <c r="F19" s="40"/>
      <c r="G19" s="155">
        <f>F43*(O11-1)</f>
        <v>2525</v>
      </c>
      <c r="H19" s="40"/>
      <c r="I19" s="41"/>
      <c r="J19" s="210">
        <f>D19*$P$17+E19*$P$18+F19*$P$19+G19*$P$20+H19*$P$21+I19*$P$23</f>
        <v>2525</v>
      </c>
      <c r="K19" s="211">
        <f t="shared" si="0"/>
        <v>0.16652256694042317</v>
      </c>
      <c r="M19" s="114" t="s">
        <v>108</v>
      </c>
      <c r="N19" s="115">
        <v>1</v>
      </c>
      <c r="O19" s="116" t="s">
        <v>10</v>
      </c>
      <c r="P19" s="117">
        <v>1</v>
      </c>
      <c r="Q19" s="113" t="s">
        <v>107</v>
      </c>
    </row>
    <row r="20" spans="2:17" ht="14.25" customHeight="1">
      <c r="B20" s="38" t="s">
        <v>38</v>
      </c>
      <c r="C20" s="42" t="s">
        <v>147</v>
      </c>
      <c r="D20" s="120"/>
      <c r="E20" s="41"/>
      <c r="F20" s="40"/>
      <c r="G20" s="155">
        <f>G44</f>
        <v>762.5</v>
      </c>
      <c r="H20" s="40"/>
      <c r="I20" s="41"/>
      <c r="J20" s="210">
        <f>D20*$P$17+E20*$P$18+F20*$P$19+G20*$P$20+H20*$P$21+I20*$P$23</f>
        <v>762.5</v>
      </c>
      <c r="K20" s="211">
        <f t="shared" si="0"/>
        <v>5.0286517739434718E-2</v>
      </c>
      <c r="M20" s="114" t="s">
        <v>109</v>
      </c>
      <c r="N20" s="118">
        <v>1</v>
      </c>
      <c r="O20" s="116" t="s">
        <v>11</v>
      </c>
      <c r="P20" s="117">
        <v>1</v>
      </c>
      <c r="Q20" s="113" t="s">
        <v>107</v>
      </c>
    </row>
    <row r="21" spans="2:17" ht="14.25" customHeight="1" thickBot="1">
      <c r="B21" s="38" t="s">
        <v>150</v>
      </c>
      <c r="C21" s="42" t="s">
        <v>143</v>
      </c>
      <c r="D21" s="120"/>
      <c r="E21" s="41"/>
      <c r="F21" s="40"/>
      <c r="G21" s="41"/>
      <c r="H21" s="40"/>
      <c r="I21" s="41"/>
      <c r="J21" s="186"/>
      <c r="K21" s="137" t="str">
        <f t="shared" si="0"/>
        <v/>
      </c>
      <c r="M21" s="278"/>
      <c r="N21" s="279"/>
      <c r="O21" s="280"/>
      <c r="P21" s="281"/>
      <c r="Q21" s="282"/>
    </row>
    <row r="22" spans="2:17" ht="14.25" customHeight="1">
      <c r="B22" s="358" t="s">
        <v>40</v>
      </c>
      <c r="C22" s="359"/>
      <c r="D22" s="326">
        <f>SUM(D18:D21)</f>
        <v>0</v>
      </c>
      <c r="E22" s="157">
        <f t="shared" ref="E22:G22" si="2">SUM(E18:E21)</f>
        <v>0</v>
      </c>
      <c r="F22" s="157">
        <f t="shared" si="2"/>
        <v>1221</v>
      </c>
      <c r="G22" s="157">
        <f t="shared" si="2"/>
        <v>3287.5</v>
      </c>
      <c r="H22" s="157">
        <f>SUM(H18:H21)</f>
        <v>0</v>
      </c>
      <c r="I22" s="157">
        <f t="shared" ref="I22" si="3">SUM(I18:I21)</f>
        <v>0</v>
      </c>
      <c r="J22" s="157">
        <f>SUM(J18:J21)</f>
        <v>4508.5</v>
      </c>
      <c r="K22" s="212">
        <f t="shared" ref="K22" si="4">SUM(K18:K21)</f>
        <v>0.29733346259441501</v>
      </c>
      <c r="M22" s="278"/>
      <c r="N22" s="279"/>
      <c r="O22" s="283"/>
      <c r="P22" s="284"/>
      <c r="Q22" s="282"/>
    </row>
    <row r="23" spans="2:17" ht="14.25" customHeight="1" thickBot="1">
      <c r="B23" s="43"/>
      <c r="C23" s="44" t="s">
        <v>33</v>
      </c>
      <c r="D23" s="328"/>
      <c r="E23" s="164"/>
      <c r="F23" s="163">
        <f>F22</f>
        <v>1221</v>
      </c>
      <c r="G23" s="164">
        <f>G22</f>
        <v>3287.5</v>
      </c>
      <c r="H23" s="163"/>
      <c r="I23" s="164"/>
      <c r="J23" s="188">
        <f>D23*$P$17+E23*$P$18+F23*$P$19+G23*$P$20+H23*$P$21+I23*$P$23</f>
        <v>4508.5</v>
      </c>
      <c r="K23" s="165">
        <f t="shared" ref="K23:K53" si="5">IF(J23&gt;0,J23/J$24,"")</f>
        <v>0.29733346259441501</v>
      </c>
      <c r="M23" s="119" t="s">
        <v>7</v>
      </c>
      <c r="N23" s="118">
        <v>1</v>
      </c>
      <c r="O23" s="121" t="s">
        <v>13</v>
      </c>
      <c r="P23" s="122">
        <v>9.8460000000000006E-3</v>
      </c>
      <c r="Q23" s="113" t="s">
        <v>107</v>
      </c>
    </row>
    <row r="24" spans="2:17" ht="15" thickBot="1">
      <c r="B24" s="360" t="s">
        <v>41</v>
      </c>
      <c r="C24" s="361"/>
      <c r="D24" s="329">
        <f t="shared" ref="D24:G25" si="6">D22+D15</f>
        <v>0</v>
      </c>
      <c r="E24" s="167">
        <f t="shared" si="6"/>
        <v>0</v>
      </c>
      <c r="F24" s="166">
        <f t="shared" si="6"/>
        <v>6608</v>
      </c>
      <c r="G24" s="167">
        <f t="shared" si="6"/>
        <v>3287.5</v>
      </c>
      <c r="H24" s="166"/>
      <c r="I24" s="167">
        <f>I22+I15</f>
        <v>535000</v>
      </c>
      <c r="J24" s="189">
        <f>J22+J15</f>
        <v>15163.11</v>
      </c>
      <c r="K24" s="168">
        <f t="shared" si="5"/>
        <v>1</v>
      </c>
      <c r="M24" s="123"/>
      <c r="N24" s="124"/>
      <c r="O24" s="100"/>
      <c r="P24" s="99"/>
      <c r="Q24" s="101"/>
    </row>
    <row r="25" spans="2:17" ht="15" thickBot="1">
      <c r="B25" s="47"/>
      <c r="C25" s="31" t="s">
        <v>42</v>
      </c>
      <c r="D25" s="327">
        <f t="shared" si="6"/>
        <v>0</v>
      </c>
      <c r="E25" s="161">
        <f t="shared" si="6"/>
        <v>0</v>
      </c>
      <c r="F25" s="160">
        <f t="shared" si="6"/>
        <v>3106.45</v>
      </c>
      <c r="G25" s="161">
        <f t="shared" si="6"/>
        <v>3287.5</v>
      </c>
      <c r="H25" s="160">
        <f>H23+H16</f>
        <v>0</v>
      </c>
      <c r="I25" s="161">
        <f>I23+I16</f>
        <v>0</v>
      </c>
      <c r="J25" s="190">
        <f>J23+J16</f>
        <v>6393.95</v>
      </c>
      <c r="K25" s="162">
        <f t="shared" si="5"/>
        <v>0.42167800668860145</v>
      </c>
      <c r="M25" s="125" t="s">
        <v>110</v>
      </c>
      <c r="N25" s="125"/>
      <c r="O25" s="125"/>
      <c r="P25" s="125"/>
      <c r="Q25" s="125"/>
    </row>
    <row r="26" spans="2:17" ht="18" customHeight="1">
      <c r="B26" s="48" t="s">
        <v>43</v>
      </c>
      <c r="C26" s="49" t="s">
        <v>44</v>
      </c>
      <c r="D26" s="330"/>
      <c r="E26" s="37"/>
      <c r="F26" s="36"/>
      <c r="G26" s="37"/>
      <c r="H26" s="36"/>
      <c r="I26" s="37"/>
      <c r="J26" s="185"/>
      <c r="K26" s="136" t="str">
        <f t="shared" si="5"/>
        <v/>
      </c>
      <c r="M26" s="1" t="s">
        <v>111</v>
      </c>
    </row>
    <row r="27" spans="2:17">
      <c r="B27" s="50" t="s">
        <v>45</v>
      </c>
      <c r="C27" s="51" t="s">
        <v>142</v>
      </c>
      <c r="D27" s="330"/>
      <c r="E27" s="37"/>
      <c r="F27" s="36"/>
      <c r="G27" s="37"/>
      <c r="H27" s="36"/>
      <c r="I27" s="37"/>
      <c r="J27" s="185"/>
      <c r="K27" s="136" t="str">
        <f t="shared" si="5"/>
        <v/>
      </c>
      <c r="M27" s="355" t="s">
        <v>112</v>
      </c>
      <c r="N27" s="355"/>
    </row>
    <row r="28" spans="2:17" ht="15" thickBot="1">
      <c r="B28" s="50" t="s">
        <v>46</v>
      </c>
      <c r="C28" s="51" t="s">
        <v>143</v>
      </c>
      <c r="D28" s="330"/>
      <c r="E28" s="37"/>
      <c r="F28" s="36"/>
      <c r="G28" s="37"/>
      <c r="H28" s="36"/>
      <c r="I28" s="37"/>
      <c r="J28" s="185"/>
      <c r="K28" s="136" t="str">
        <f t="shared" si="5"/>
        <v/>
      </c>
      <c r="M28" s="23"/>
      <c r="Q28" s="23"/>
    </row>
    <row r="29" spans="2:17" ht="16">
      <c r="B29" s="52"/>
      <c r="C29" s="53" t="s">
        <v>47</v>
      </c>
      <c r="D29" s="326">
        <f>D28+D27</f>
        <v>0</v>
      </c>
      <c r="E29" s="29">
        <f t="shared" ref="E29:I29" si="7">E28+E27</f>
        <v>0</v>
      </c>
      <c r="F29" s="28">
        <f t="shared" si="7"/>
        <v>0</v>
      </c>
      <c r="G29" s="29">
        <f t="shared" si="7"/>
        <v>0</v>
      </c>
      <c r="H29" s="28">
        <f t="shared" si="7"/>
        <v>0</v>
      </c>
      <c r="I29" s="29">
        <f t="shared" si="7"/>
        <v>0</v>
      </c>
      <c r="J29" s="183">
        <f>E29*P18+F29*P19</f>
        <v>0</v>
      </c>
      <c r="K29" s="134" t="str">
        <f t="shared" si="5"/>
        <v/>
      </c>
      <c r="M29" s="23"/>
      <c r="Q29" s="23"/>
    </row>
    <row r="30" spans="2:17" ht="15" thickBot="1">
      <c r="B30" s="47"/>
      <c r="C30" s="31" t="s">
        <v>33</v>
      </c>
      <c r="D30" s="327"/>
      <c r="E30" s="32"/>
      <c r="F30" s="32">
        <f>0.031*F28</f>
        <v>0</v>
      </c>
      <c r="G30" s="32"/>
      <c r="H30" s="32"/>
      <c r="I30" s="33"/>
      <c r="J30" s="184">
        <f>D30*$P$17+E30*$P$18+F30*$P$19+G30*$P$20+H30*$P$21+I30*$P$23</f>
        <v>0</v>
      </c>
      <c r="K30" s="135" t="str">
        <f t="shared" si="5"/>
        <v/>
      </c>
      <c r="M30" s="23"/>
      <c r="Q30" s="23"/>
    </row>
    <row r="31" spans="2:17">
      <c r="B31" s="48" t="s">
        <v>48</v>
      </c>
      <c r="C31" s="49" t="s">
        <v>49</v>
      </c>
      <c r="D31" s="330"/>
      <c r="E31" s="37"/>
      <c r="F31" s="36"/>
      <c r="G31" s="37"/>
      <c r="H31" s="36"/>
      <c r="I31" s="37"/>
      <c r="J31" s="185"/>
      <c r="K31" s="136" t="str">
        <f t="shared" si="5"/>
        <v/>
      </c>
      <c r="M31" s="23"/>
      <c r="Q31" s="23"/>
    </row>
    <row r="32" spans="2:17">
      <c r="B32" s="50" t="s">
        <v>50</v>
      </c>
      <c r="C32" s="51" t="s">
        <v>51</v>
      </c>
      <c r="D32" s="330"/>
      <c r="E32" s="37"/>
      <c r="F32" s="36"/>
      <c r="G32" s="37"/>
      <c r="H32" s="36"/>
      <c r="I32" s="37">
        <v>27000</v>
      </c>
      <c r="J32" s="293">
        <f>D32*$P$17+E32*$P$18+F32*$P$19+G32*$P$20+H32*$P$21+I32*$P$23</f>
        <v>265.84200000000004</v>
      </c>
      <c r="K32" s="294">
        <f t="shared" si="5"/>
        <v>1.753215534280237E-2</v>
      </c>
      <c r="M32" s="23"/>
      <c r="Q32" s="23"/>
    </row>
    <row r="33" spans="2:17" ht="15" thickBot="1">
      <c r="B33" s="54" t="s">
        <v>144</v>
      </c>
      <c r="C33" s="37" t="s">
        <v>143</v>
      </c>
      <c r="D33" s="330"/>
      <c r="E33" s="37"/>
      <c r="F33" s="36"/>
      <c r="G33" s="37"/>
      <c r="H33" s="36"/>
      <c r="I33" s="37"/>
      <c r="J33" s="293">
        <f>D33*$P$17+E33*$P$18+F33*$P$19+G33*$P$20+H33*$P$21+I33*$P$23</f>
        <v>0</v>
      </c>
      <c r="K33" s="294" t="str">
        <f t="shared" si="5"/>
        <v/>
      </c>
      <c r="M33" s="23"/>
      <c r="Q33" s="23"/>
    </row>
    <row r="34" spans="2:17" ht="16">
      <c r="B34" s="52"/>
      <c r="C34" s="53" t="s">
        <v>52</v>
      </c>
      <c r="D34" s="326">
        <f t="shared" ref="D34:J34" si="8">D32+D33</f>
        <v>0</v>
      </c>
      <c r="E34" s="158">
        <f t="shared" si="8"/>
        <v>0</v>
      </c>
      <c r="F34" s="157">
        <f t="shared" si="8"/>
        <v>0</v>
      </c>
      <c r="G34" s="158">
        <f t="shared" si="8"/>
        <v>0</v>
      </c>
      <c r="H34" s="157">
        <f t="shared" si="8"/>
        <v>0</v>
      </c>
      <c r="I34" s="158">
        <f t="shared" si="8"/>
        <v>27000</v>
      </c>
      <c r="J34" s="187">
        <f t="shared" si="8"/>
        <v>265.84200000000004</v>
      </c>
      <c r="K34" s="159">
        <f t="shared" si="5"/>
        <v>1.753215534280237E-2</v>
      </c>
      <c r="M34" s="23"/>
      <c r="Q34" s="23"/>
    </row>
    <row r="35" spans="2:17" ht="15" thickBot="1">
      <c r="B35" s="47"/>
      <c r="C35" s="31" t="s">
        <v>33</v>
      </c>
      <c r="D35" s="327"/>
      <c r="E35" s="161"/>
      <c r="F35" s="160"/>
      <c r="G35" s="161"/>
      <c r="H35" s="160"/>
      <c r="I35" s="161"/>
      <c r="J35" s="190">
        <f>D35*$P$17+E35*$P$18+F35*$P$19+G35*$P$20+H35*$P$21+I35*$P$23</f>
        <v>0</v>
      </c>
      <c r="K35" s="162" t="str">
        <f t="shared" si="5"/>
        <v/>
      </c>
      <c r="M35" s="23"/>
      <c r="Q35" s="23"/>
    </row>
    <row r="36" spans="2:17">
      <c r="B36" s="48" t="s">
        <v>53</v>
      </c>
      <c r="C36" s="49" t="s">
        <v>54</v>
      </c>
      <c r="D36" s="330"/>
      <c r="E36" s="37"/>
      <c r="F36" s="36"/>
      <c r="G36" s="37"/>
      <c r="H36" s="36"/>
      <c r="I36" s="37"/>
      <c r="J36" s="293"/>
      <c r="K36" s="294" t="str">
        <f t="shared" si="5"/>
        <v/>
      </c>
    </row>
    <row r="37" spans="2:17" ht="15" thickBot="1">
      <c r="B37" s="50" t="s">
        <v>55</v>
      </c>
      <c r="C37" s="51" t="s">
        <v>192</v>
      </c>
      <c r="D37" s="330"/>
      <c r="E37" s="37"/>
      <c r="F37" s="36"/>
      <c r="G37" s="37"/>
      <c r="H37" s="36"/>
      <c r="I37" s="37"/>
      <c r="J37" s="293">
        <f>D37*$P$17+E37*$P$18+F37*$P$19+G37*$P$20+H37*$P$21+I37*$P$23</f>
        <v>0</v>
      </c>
      <c r="K37" s="294" t="str">
        <f t="shared" si="5"/>
        <v/>
      </c>
    </row>
    <row r="38" spans="2:17" ht="16">
      <c r="B38" s="52"/>
      <c r="C38" s="55" t="s">
        <v>56</v>
      </c>
      <c r="D38" s="331">
        <f>D37</f>
        <v>0</v>
      </c>
      <c r="E38" s="158">
        <f t="shared" ref="E38:I38" si="9">E37</f>
        <v>0</v>
      </c>
      <c r="F38" s="157">
        <f t="shared" si="9"/>
        <v>0</v>
      </c>
      <c r="G38" s="158">
        <f t="shared" si="9"/>
        <v>0</v>
      </c>
      <c r="H38" s="157">
        <f t="shared" si="9"/>
        <v>0</v>
      </c>
      <c r="I38" s="158">
        <f t="shared" si="9"/>
        <v>0</v>
      </c>
      <c r="J38" s="187">
        <f>D38*$P$17+E38*$P$18+F38*$P$19+G38*$P$20+H38*$P$21+I38*$P$23</f>
        <v>0</v>
      </c>
      <c r="K38" s="159" t="str">
        <f t="shared" si="5"/>
        <v/>
      </c>
    </row>
    <row r="39" spans="2:17" ht="15" thickBot="1">
      <c r="B39" s="56"/>
      <c r="C39" s="57" t="s">
        <v>33</v>
      </c>
      <c r="D39" s="332"/>
      <c r="E39" s="161"/>
      <c r="F39" s="160"/>
      <c r="G39" s="161"/>
      <c r="H39" s="160"/>
      <c r="I39" s="161"/>
      <c r="J39" s="190">
        <f>D39*$P$17+E39*$P$18+F39*$P$19+G39*$P$20+H39*$P$21+I39*$P$23</f>
        <v>0</v>
      </c>
      <c r="K39" s="162" t="str">
        <f t="shared" si="5"/>
        <v/>
      </c>
    </row>
    <row r="40" spans="2:17">
      <c r="B40" s="344" t="s">
        <v>57</v>
      </c>
      <c r="C40" s="345"/>
      <c r="D40" s="331">
        <f t="shared" ref="D40:I40" si="10">D24-D29-D34-D38</f>
        <v>0</v>
      </c>
      <c r="E40" s="29">
        <f t="shared" si="10"/>
        <v>0</v>
      </c>
      <c r="F40" s="157">
        <f t="shared" si="10"/>
        <v>6608</v>
      </c>
      <c r="G40" s="157">
        <f>G24-G29-G34-G38</f>
        <v>3287.5</v>
      </c>
      <c r="H40" s="157">
        <f t="shared" si="10"/>
        <v>0</v>
      </c>
      <c r="I40" s="158">
        <f t="shared" si="10"/>
        <v>508000</v>
      </c>
      <c r="J40" s="187">
        <f>D40*$P$17+E40*$P$18+F40*$P$19+G40*$P$20+H40*$P$21+I40*$P$23</f>
        <v>14897.268</v>
      </c>
      <c r="K40" s="159">
        <f t="shared" si="5"/>
        <v>0.98246784465719761</v>
      </c>
    </row>
    <row r="41" spans="2:17" ht="15" thickBot="1">
      <c r="B41" s="47"/>
      <c r="C41" s="58" t="s">
        <v>58</v>
      </c>
      <c r="D41" s="332"/>
      <c r="E41" s="33">
        <f>E25-E30-E35-E39</f>
        <v>0</v>
      </c>
      <c r="F41" s="160">
        <f>F25-F30-F35-F39</f>
        <v>3106.45</v>
      </c>
      <c r="G41" s="161">
        <f>G25</f>
        <v>3287.5</v>
      </c>
      <c r="H41" s="160"/>
      <c r="I41" s="161"/>
      <c r="J41" s="190">
        <f>D41*$P$17+E41*$P$18+F41*$P$19+G41*$P$20+H41*$P$21+I41*$P$23</f>
        <v>6393.95</v>
      </c>
      <c r="K41" s="162">
        <f t="shared" si="5"/>
        <v>0.42167800668860145</v>
      </c>
    </row>
    <row r="42" spans="2:17" ht="17.25" customHeight="1">
      <c r="B42" s="59" t="s">
        <v>59</v>
      </c>
      <c r="C42" s="60" t="s">
        <v>60</v>
      </c>
      <c r="D42" s="333"/>
      <c r="E42" s="62"/>
      <c r="F42" s="61"/>
      <c r="G42" s="62"/>
      <c r="H42" s="61"/>
      <c r="I42" s="62"/>
      <c r="J42" s="295"/>
      <c r="K42" s="296" t="str">
        <f t="shared" si="5"/>
        <v/>
      </c>
    </row>
    <row r="43" spans="2:17">
      <c r="B43" s="63" t="s">
        <v>61</v>
      </c>
      <c r="C43" s="64" t="s">
        <v>146</v>
      </c>
      <c r="D43" s="334">
        <v>0</v>
      </c>
      <c r="E43" s="66">
        <v>0</v>
      </c>
      <c r="F43" s="65">
        <v>1010</v>
      </c>
      <c r="G43" s="156">
        <f>F43*(O$11-1)</f>
        <v>2525</v>
      </c>
      <c r="H43" s="65"/>
      <c r="I43" s="66"/>
      <c r="J43" s="297">
        <f>D43*$P$17+E43*$P$18+F43*$P$19+G43*$P$20+H43*$P$21+I43*$P$23</f>
        <v>3535</v>
      </c>
      <c r="K43" s="298">
        <f t="shared" si="5"/>
        <v>0.23313159371659242</v>
      </c>
      <c r="M43" s="139"/>
    </row>
    <row r="44" spans="2:17" ht="15" thickBot="1">
      <c r="B44" s="67" t="s">
        <v>62</v>
      </c>
      <c r="C44" s="68" t="s">
        <v>191</v>
      </c>
      <c r="D44" s="330"/>
      <c r="E44" s="37"/>
      <c r="F44" s="69">
        <v>305</v>
      </c>
      <c r="G44" s="156">
        <f t="shared" ref="G44" si="11">F44*(O$11-1)</f>
        <v>762.5</v>
      </c>
      <c r="H44" s="36"/>
      <c r="I44" s="37"/>
      <c r="J44" s="297">
        <f>D44*$P$17+E44*$P$18+F44*$P$19+G44*$P$20+H44*$P$21+I44*$P$23</f>
        <v>1067.5</v>
      </c>
      <c r="K44" s="298">
        <f t="shared" si="5"/>
        <v>7.0401124835208606E-2</v>
      </c>
    </row>
    <row r="45" spans="2:17" ht="16">
      <c r="B45" s="52"/>
      <c r="C45" s="53" t="s">
        <v>63</v>
      </c>
      <c r="D45" s="326">
        <f t="shared" ref="D45:E45" si="12">SUM(D43:D44)</f>
        <v>0</v>
      </c>
      <c r="E45" s="157">
        <f t="shared" si="12"/>
        <v>0</v>
      </c>
      <c r="F45" s="157">
        <f>SUM(F43:F44)</f>
        <v>1315</v>
      </c>
      <c r="G45" s="157">
        <f>SUM(G43:G44)</f>
        <v>3287.5</v>
      </c>
      <c r="H45" s="157">
        <f t="shared" ref="H45:I45" si="13">SUM(H43:H44)</f>
        <v>0</v>
      </c>
      <c r="I45" s="157">
        <f t="shared" si="13"/>
        <v>0</v>
      </c>
      <c r="J45" s="187">
        <f>SUM(J43:J44)</f>
        <v>4602.5</v>
      </c>
      <c r="K45" s="159">
        <f t="shared" si="5"/>
        <v>0.30353271855180103</v>
      </c>
    </row>
    <row r="46" spans="2:17" ht="15" thickBot="1">
      <c r="B46" s="30"/>
      <c r="C46" s="31" t="s">
        <v>33</v>
      </c>
      <c r="D46" s="327"/>
      <c r="E46" s="161">
        <f>E41</f>
        <v>0</v>
      </c>
      <c r="F46" s="160">
        <f>F45*(F41/F40)</f>
        <v>618.18731083535101</v>
      </c>
      <c r="G46" s="161">
        <f>G45</f>
        <v>3287.5</v>
      </c>
      <c r="H46" s="160"/>
      <c r="I46" s="161"/>
      <c r="J46" s="190">
        <f>D46*$P$17+E46*$P$18+F46*$P$19+G46*$P$20+H46*$P$21+I46*$P$23</f>
        <v>3905.6873108353511</v>
      </c>
      <c r="K46" s="162">
        <f t="shared" si="5"/>
        <v>0.25757824818492719</v>
      </c>
    </row>
    <row r="47" spans="2:17">
      <c r="B47" s="73" t="s">
        <v>64</v>
      </c>
      <c r="C47" s="74" t="s">
        <v>65</v>
      </c>
      <c r="D47" s="334"/>
      <c r="E47" s="66"/>
      <c r="F47" s="65"/>
      <c r="G47" s="66"/>
      <c r="H47" s="65"/>
      <c r="I47" s="66"/>
      <c r="J47" s="297"/>
      <c r="K47" s="298" t="str">
        <f t="shared" si="5"/>
        <v/>
      </c>
    </row>
    <row r="48" spans="2:17">
      <c r="B48" s="270" t="s">
        <v>66</v>
      </c>
      <c r="C48" s="76" t="s">
        <v>139</v>
      </c>
      <c r="D48" s="334"/>
      <c r="E48" s="66"/>
      <c r="F48" s="65"/>
      <c r="G48" s="299">
        <f>F43+G43</f>
        <v>3535</v>
      </c>
      <c r="H48" s="65"/>
      <c r="I48" s="66"/>
      <c r="J48" s="205">
        <f>D48*$P$17+E48*$P$18+F48*$P$19+G48*$P$20+H48*$P$21+I48*$P$23</f>
        <v>3535</v>
      </c>
      <c r="K48" s="207">
        <f t="shared" si="5"/>
        <v>0.23313159371659242</v>
      </c>
    </row>
    <row r="49" spans="1:14" ht="15" thickBot="1">
      <c r="B49" s="270" t="s">
        <v>193</v>
      </c>
      <c r="C49" s="76" t="s">
        <v>139</v>
      </c>
      <c r="D49" s="335"/>
      <c r="E49" s="19"/>
      <c r="F49" s="18"/>
      <c r="G49" s="299">
        <f>F44+G44</f>
        <v>1067.5</v>
      </c>
      <c r="H49" s="18"/>
      <c r="I49" s="19"/>
      <c r="J49" s="205">
        <f>D49*$P$17+E49*$P$18+F49*$P$19+G49*$P$20+H49*$P$21+I49*$P$23</f>
        <v>1067.5</v>
      </c>
      <c r="K49" s="207">
        <f t="shared" si="5"/>
        <v>7.0401124835208606E-2</v>
      </c>
    </row>
    <row r="50" spans="1:14" ht="16">
      <c r="B50" s="52"/>
      <c r="C50" s="53" t="s">
        <v>67</v>
      </c>
      <c r="D50" s="329">
        <f t="shared" ref="D50:J50" si="14">SUM(D47:D49)</f>
        <v>0</v>
      </c>
      <c r="E50" s="46">
        <f t="shared" si="14"/>
        <v>0</v>
      </c>
      <c r="F50" s="45">
        <f t="shared" si="14"/>
        <v>0</v>
      </c>
      <c r="G50" s="167">
        <f t="shared" si="14"/>
        <v>4602.5</v>
      </c>
      <c r="H50" s="45">
        <f t="shared" si="14"/>
        <v>0</v>
      </c>
      <c r="I50" s="46">
        <f t="shared" si="14"/>
        <v>0</v>
      </c>
      <c r="J50" s="189">
        <f t="shared" si="14"/>
        <v>4602.5</v>
      </c>
      <c r="K50" s="168">
        <f t="shared" si="5"/>
        <v>0.30353271855180103</v>
      </c>
      <c r="M50" s="126"/>
    </row>
    <row r="51" spans="1:14" ht="15" thickBot="1">
      <c r="B51" s="47"/>
      <c r="C51" s="31" t="s">
        <v>33</v>
      </c>
      <c r="D51" s="336"/>
      <c r="E51" s="33"/>
      <c r="F51" s="32"/>
      <c r="G51" s="161">
        <f>F46+G46</f>
        <v>3905.6873108353511</v>
      </c>
      <c r="H51" s="32"/>
      <c r="I51" s="33"/>
      <c r="J51" s="190">
        <f>D51*$P$17+E51*$P$18+F51*$P$19+G51*$P$20+H51*$P$21+I51*$P$23</f>
        <v>3905.6873108353511</v>
      </c>
      <c r="K51" s="162">
        <f t="shared" si="5"/>
        <v>0.25757824818492719</v>
      </c>
    </row>
    <row r="52" spans="1:14" ht="16">
      <c r="B52" s="346" t="s">
        <v>68</v>
      </c>
      <c r="C52" s="347"/>
      <c r="D52" s="337">
        <f t="shared" ref="D52:J52" si="15">D40-D45+D50</f>
        <v>0</v>
      </c>
      <c r="E52" s="286">
        <f t="shared" si="15"/>
        <v>0</v>
      </c>
      <c r="F52" s="285">
        <f t="shared" si="15"/>
        <v>5293</v>
      </c>
      <c r="G52" s="286">
        <f t="shared" si="15"/>
        <v>4602.5</v>
      </c>
      <c r="H52" s="285">
        <f t="shared" si="15"/>
        <v>0</v>
      </c>
      <c r="I52" s="286">
        <f t="shared" si="15"/>
        <v>508000</v>
      </c>
      <c r="J52" s="287">
        <f t="shared" si="15"/>
        <v>14897.268</v>
      </c>
      <c r="K52" s="288">
        <f t="shared" si="5"/>
        <v>0.98246784465719761</v>
      </c>
    </row>
    <row r="53" spans="1:14" ht="18" thickBot="1">
      <c r="B53" s="77"/>
      <c r="C53" s="78" t="s">
        <v>33</v>
      </c>
      <c r="D53" s="338"/>
      <c r="E53" s="290">
        <f>E41-E46+E51</f>
        <v>0</v>
      </c>
      <c r="F53" s="289">
        <f>F41-F46+F51</f>
        <v>2488.2626891646487</v>
      </c>
      <c r="G53" s="290">
        <f>G41-G46+G51</f>
        <v>3905.6873108353511</v>
      </c>
      <c r="H53" s="289">
        <f>H41-H46+H51</f>
        <v>0</v>
      </c>
      <c r="I53" s="290">
        <f>I41-I46+I51</f>
        <v>0</v>
      </c>
      <c r="J53" s="291">
        <f>D53*$P$17+E53*$P$18+F53*$P$19+G53*$P$20+H53*$P$21+I53*$P$23</f>
        <v>6393.95</v>
      </c>
      <c r="K53" s="292">
        <f t="shared" si="5"/>
        <v>0.42167800668860145</v>
      </c>
      <c r="M53" s="126"/>
      <c r="N53" s="126"/>
    </row>
    <row r="54" spans="1:14" ht="17.25" customHeight="1">
      <c r="M54" s="126"/>
    </row>
    <row r="55" spans="1:14" ht="14.25" customHeight="1">
      <c r="B55" s="80"/>
      <c r="C55" s="80"/>
      <c r="D55" s="339"/>
      <c r="E55" s="80"/>
      <c r="F55" s="80"/>
      <c r="G55" s="80"/>
      <c r="H55" s="80"/>
      <c r="I55" s="80"/>
      <c r="J55" s="80"/>
      <c r="K55" s="128"/>
      <c r="M55" s="126"/>
    </row>
    <row r="56" spans="1:14" ht="14.25" customHeight="1">
      <c r="A56" s="23"/>
      <c r="B56" s="80"/>
      <c r="C56" s="81"/>
      <c r="D56" s="340"/>
      <c r="E56" s="81"/>
      <c r="F56" s="81"/>
      <c r="G56" s="81"/>
      <c r="H56" s="81"/>
      <c r="I56" s="81"/>
      <c r="J56" s="81"/>
      <c r="K56" s="81"/>
      <c r="L56" s="79"/>
    </row>
    <row r="57" spans="1:14" ht="14.25" customHeight="1">
      <c r="A57" s="23"/>
      <c r="B57" s="80"/>
      <c r="C57" s="81"/>
      <c r="D57" s="340"/>
      <c r="E57" s="81"/>
      <c r="F57" s="81"/>
      <c r="G57" s="81"/>
      <c r="H57" s="81"/>
      <c r="I57" s="81"/>
      <c r="J57" s="81"/>
      <c r="K57" s="81"/>
      <c r="L57" s="80"/>
      <c r="M57" s="79"/>
    </row>
    <row r="58" spans="1:14" ht="14.25" customHeight="1">
      <c r="A58" s="23"/>
      <c r="B58" s="81"/>
      <c r="C58" s="81"/>
      <c r="D58" s="340"/>
      <c r="E58" s="81"/>
      <c r="F58" s="81"/>
      <c r="G58" s="81"/>
      <c r="H58" s="81"/>
      <c r="I58" s="81"/>
      <c r="J58" s="81"/>
      <c r="K58" s="81"/>
      <c r="L58" s="81"/>
      <c r="M58" s="79"/>
    </row>
    <row r="59" spans="1:14" ht="13.75" customHeight="1">
      <c r="A59" s="23"/>
      <c r="C59" s="82"/>
      <c r="D59" s="341"/>
      <c r="E59" s="83"/>
      <c r="F59" s="83"/>
      <c r="G59" s="83"/>
      <c r="H59" s="83"/>
      <c r="I59" s="83"/>
      <c r="J59" s="83"/>
      <c r="K59" s="83"/>
      <c r="L59" s="81"/>
      <c r="M59" s="79"/>
    </row>
    <row r="60" spans="1:14" ht="19.75" customHeight="1" thickBot="1">
      <c r="A60" s="23"/>
      <c r="B60" s="84"/>
      <c r="C60" s="84"/>
      <c r="D60" s="2" t="s">
        <v>69</v>
      </c>
      <c r="E60" s="83"/>
      <c r="F60" s="83"/>
      <c r="G60" s="83"/>
      <c r="H60" s="83"/>
      <c r="I60" s="83"/>
      <c r="J60" s="83"/>
      <c r="K60" s="83"/>
      <c r="L60" s="81"/>
      <c r="M60" s="79"/>
    </row>
    <row r="61" spans="1:14" ht="14.25" customHeight="1" thickBot="1">
      <c r="A61" s="23"/>
      <c r="B61" s="350" t="s">
        <v>70</v>
      </c>
      <c r="C61" s="351"/>
      <c r="D61" s="351"/>
      <c r="E61" s="351"/>
      <c r="F61" s="351"/>
      <c r="G61" s="351"/>
      <c r="H61" s="351"/>
      <c r="I61" s="351"/>
      <c r="J61" s="352"/>
      <c r="K61" s="257"/>
      <c r="L61" s="83"/>
    </row>
    <row r="62" spans="1:14" ht="28">
      <c r="A62" s="23"/>
      <c r="B62" s="348" t="s">
        <v>71</v>
      </c>
      <c r="C62" s="349"/>
      <c r="D62" s="3" t="s">
        <v>2</v>
      </c>
      <c r="E62" s="3"/>
      <c r="F62" s="3" t="s">
        <v>4</v>
      </c>
      <c r="G62" s="3" t="s">
        <v>5</v>
      </c>
      <c r="H62" s="3" t="s">
        <v>6</v>
      </c>
      <c r="I62" s="154" t="s">
        <v>7</v>
      </c>
      <c r="J62" s="353" t="s">
        <v>8</v>
      </c>
      <c r="K62" s="354"/>
      <c r="L62" s="83"/>
    </row>
    <row r="63" spans="1:14" ht="17" thickBot="1">
      <c r="B63" s="5" t="s">
        <v>117</v>
      </c>
      <c r="C63" s="86"/>
      <c r="D63" s="7" t="s">
        <v>9</v>
      </c>
      <c r="E63" s="7"/>
      <c r="F63" s="7" t="s">
        <v>10</v>
      </c>
      <c r="G63" s="7" t="s">
        <v>11</v>
      </c>
      <c r="H63" s="7" t="s">
        <v>12</v>
      </c>
      <c r="I63" s="178" t="s">
        <v>13</v>
      </c>
      <c r="J63" s="180" t="s">
        <v>14</v>
      </c>
      <c r="K63" s="130" t="s">
        <v>113</v>
      </c>
    </row>
    <row r="64" spans="1:14" ht="30" customHeight="1" thickBot="1">
      <c r="B64" s="88" t="s">
        <v>72</v>
      </c>
      <c r="C64" s="89" t="s">
        <v>73</v>
      </c>
      <c r="D64" s="90" t="s">
        <v>74</v>
      </c>
      <c r="E64" s="90"/>
      <c r="F64" s="90" t="s">
        <v>75</v>
      </c>
      <c r="G64" s="91" t="s">
        <v>76</v>
      </c>
      <c r="H64" s="91" t="s">
        <v>77</v>
      </c>
      <c r="I64" s="191" t="s">
        <v>78</v>
      </c>
      <c r="J64" s="132" t="s">
        <v>79</v>
      </c>
      <c r="K64" s="131" t="s">
        <v>116</v>
      </c>
    </row>
    <row r="65" spans="2:17" s="85" customFormat="1" ht="15.75" customHeight="1">
      <c r="B65" s="12" t="s">
        <v>80</v>
      </c>
      <c r="C65" s="92" t="s">
        <v>149</v>
      </c>
      <c r="D65" s="323"/>
      <c r="E65" s="15"/>
      <c r="F65" s="14"/>
      <c r="G65" s="14"/>
      <c r="H65" s="15"/>
      <c r="I65" s="192"/>
      <c r="J65" s="301"/>
      <c r="K65" s="302" t="str">
        <f t="shared" ref="K65:K80" si="16">IF(J65&gt;0,J65/J$87,"")</f>
        <v/>
      </c>
      <c r="L65" s="87"/>
      <c r="M65" s="87"/>
      <c r="O65" s="1"/>
      <c r="P65" s="1"/>
      <c r="Q65" s="1"/>
    </row>
    <row r="66" spans="2:17">
      <c r="B66" s="93" t="s">
        <v>81</v>
      </c>
      <c r="C66" s="68" t="s">
        <v>126</v>
      </c>
      <c r="D66" s="170"/>
      <c r="E66" s="19"/>
      <c r="F66" s="170">
        <v>124</v>
      </c>
      <c r="G66" s="18"/>
      <c r="H66" s="19"/>
      <c r="I66" s="193"/>
      <c r="J66" s="303">
        <f t="shared" ref="J66:J71" si="17">D66*$P$17+F66*$P$19+G66*$P$20+H66*$P$21+I66*$P$23</f>
        <v>124</v>
      </c>
      <c r="K66" s="308">
        <f t="shared" si="16"/>
        <v>8.3236738440900706E-3</v>
      </c>
    </row>
    <row r="67" spans="2:17">
      <c r="B67" s="93" t="s">
        <v>82</v>
      </c>
      <c r="C67" s="68" t="s">
        <v>125</v>
      </c>
      <c r="D67" s="169"/>
      <c r="E67" s="70"/>
      <c r="F67" s="169">
        <v>65</v>
      </c>
      <c r="G67" s="169">
        <f>160*O11</f>
        <v>560</v>
      </c>
      <c r="H67" s="70"/>
      <c r="I67" s="194"/>
      <c r="J67" s="303">
        <f t="shared" si="17"/>
        <v>625</v>
      </c>
      <c r="K67" s="308">
        <f t="shared" si="16"/>
        <v>4.1954001230292692E-2</v>
      </c>
      <c r="O67" s="85"/>
      <c r="P67" s="85"/>
      <c r="Q67" s="85"/>
    </row>
    <row r="68" spans="2:17">
      <c r="B68" s="93" t="s">
        <v>128</v>
      </c>
      <c r="C68" s="68" t="s">
        <v>123</v>
      </c>
      <c r="D68" s="169"/>
      <c r="E68" s="70"/>
      <c r="F68" s="169">
        <v>536</v>
      </c>
      <c r="G68" s="169">
        <f>60*O11</f>
        <v>210</v>
      </c>
      <c r="H68" s="70"/>
      <c r="I68" s="194"/>
      <c r="J68" s="303">
        <f t="shared" si="17"/>
        <v>746</v>
      </c>
      <c r="K68" s="308">
        <f t="shared" si="16"/>
        <v>5.0076295868477359E-2</v>
      </c>
    </row>
    <row r="69" spans="2:17">
      <c r="B69" s="93" t="s">
        <v>129</v>
      </c>
      <c r="C69" s="68" t="s">
        <v>127</v>
      </c>
      <c r="D69" s="169"/>
      <c r="E69" s="70"/>
      <c r="F69" s="169">
        <v>40</v>
      </c>
      <c r="G69" s="169"/>
      <c r="H69" s="70"/>
      <c r="I69" s="194"/>
      <c r="J69" s="303">
        <f t="shared" si="17"/>
        <v>40</v>
      </c>
      <c r="K69" s="308">
        <f t="shared" si="16"/>
        <v>2.6850560787387324E-3</v>
      </c>
    </row>
    <row r="70" spans="2:17">
      <c r="B70" s="93" t="s">
        <v>130</v>
      </c>
      <c r="C70" s="68" t="s">
        <v>135</v>
      </c>
      <c r="D70" s="169"/>
      <c r="E70" s="70"/>
      <c r="F70" s="169">
        <v>0</v>
      </c>
      <c r="G70" s="169">
        <f>80*O11</f>
        <v>280</v>
      </c>
      <c r="H70" s="70"/>
      <c r="I70" s="194"/>
      <c r="J70" s="303">
        <f t="shared" si="17"/>
        <v>280</v>
      </c>
      <c r="K70" s="308">
        <f t="shared" si="16"/>
        <v>1.8795392551171127E-2</v>
      </c>
    </row>
    <row r="71" spans="2:17" ht="15" thickBot="1">
      <c r="B71" s="93" t="s">
        <v>134</v>
      </c>
      <c r="C71" s="68" t="s">
        <v>131</v>
      </c>
      <c r="D71" s="169"/>
      <c r="E71" s="70"/>
      <c r="F71" s="169">
        <v>10</v>
      </c>
      <c r="G71" s="169">
        <f>5*O11</f>
        <v>17.5</v>
      </c>
      <c r="H71" s="70"/>
      <c r="I71" s="194"/>
      <c r="J71" s="303">
        <f t="shared" si="17"/>
        <v>27.5</v>
      </c>
      <c r="K71" s="173">
        <f t="shared" si="16"/>
        <v>1.8459760541328786E-3</v>
      </c>
    </row>
    <row r="72" spans="2:17" ht="17" thickBot="1">
      <c r="B72" s="97"/>
      <c r="C72" s="98" t="s">
        <v>83</v>
      </c>
      <c r="D72" s="300">
        <f t="shared" ref="D72:J72" si="18">SUM(D65:D71)</f>
        <v>0</v>
      </c>
      <c r="E72" s="315"/>
      <c r="F72" s="300">
        <f t="shared" si="18"/>
        <v>775</v>
      </c>
      <c r="G72" s="300">
        <f t="shared" si="18"/>
        <v>1067.5</v>
      </c>
      <c r="H72" s="315">
        <f t="shared" si="18"/>
        <v>0</v>
      </c>
      <c r="I72" s="307">
        <f t="shared" si="18"/>
        <v>0</v>
      </c>
      <c r="J72" s="316">
        <f t="shared" si="18"/>
        <v>1842.5</v>
      </c>
      <c r="K72" s="309">
        <f t="shared" si="16"/>
        <v>0.12368039562690286</v>
      </c>
    </row>
    <row r="73" spans="2:17">
      <c r="B73" s="102" t="s">
        <v>84</v>
      </c>
      <c r="C73" s="103" t="s">
        <v>132</v>
      </c>
      <c r="D73" s="317"/>
      <c r="E73" s="318"/>
      <c r="F73" s="317"/>
      <c r="G73" s="317"/>
      <c r="H73" s="318"/>
      <c r="I73" s="319"/>
      <c r="J73" s="320">
        <f>F73</f>
        <v>0</v>
      </c>
      <c r="K73" s="310" t="str">
        <f t="shared" si="16"/>
        <v/>
      </c>
    </row>
    <row r="74" spans="2:17">
      <c r="B74" s="75" t="s">
        <v>85</v>
      </c>
      <c r="C74" s="76" t="s">
        <v>121</v>
      </c>
      <c r="D74" s="171"/>
      <c r="E74" s="321"/>
      <c r="F74" s="171">
        <v>2550</v>
      </c>
      <c r="G74" s="171"/>
      <c r="H74" s="321"/>
      <c r="I74" s="213"/>
      <c r="J74" s="322">
        <f>D74*$P$17+F74*$P$19+G74*$P$20+H74*$P$21+I74*$P$23</f>
        <v>2550</v>
      </c>
      <c r="K74" s="311">
        <f t="shared" si="16"/>
        <v>0.1711723250195942</v>
      </c>
    </row>
    <row r="75" spans="2:17" ht="15" thickBot="1">
      <c r="B75" s="75" t="s">
        <v>86</v>
      </c>
      <c r="C75" s="76" t="s">
        <v>148</v>
      </c>
      <c r="D75" s="171"/>
      <c r="E75" s="321"/>
      <c r="F75" s="171"/>
      <c r="G75" s="171"/>
      <c r="H75" s="321"/>
      <c r="I75" s="213">
        <v>506000</v>
      </c>
      <c r="J75" s="322">
        <f>D75*$P$17+F75*$P$19+G75*$P$20+H75*$P$21+I75*$P$23</f>
        <v>4982.076</v>
      </c>
      <c r="K75" s="311">
        <f t="shared" si="16"/>
        <v>0.33442883621345876</v>
      </c>
    </row>
    <row r="76" spans="2:17" ht="17" thickBot="1">
      <c r="B76" s="97"/>
      <c r="C76" s="98" t="s">
        <v>87</v>
      </c>
      <c r="D76" s="300">
        <f t="shared" ref="D76:J76" si="19">SUM(D73:D75)</f>
        <v>0</v>
      </c>
      <c r="E76" s="315"/>
      <c r="F76" s="300">
        <f t="shared" si="19"/>
        <v>2550</v>
      </c>
      <c r="G76" s="300">
        <f t="shared" si="19"/>
        <v>0</v>
      </c>
      <c r="H76" s="315">
        <f t="shared" si="19"/>
        <v>0</v>
      </c>
      <c r="I76" s="307">
        <f t="shared" si="19"/>
        <v>506000</v>
      </c>
      <c r="J76" s="316">
        <f t="shared" si="19"/>
        <v>7532.076</v>
      </c>
      <c r="K76" s="309">
        <f t="shared" si="16"/>
        <v>0.50560116123305299</v>
      </c>
    </row>
    <row r="77" spans="2:17">
      <c r="B77" s="102" t="s">
        <v>88</v>
      </c>
      <c r="C77" s="103" t="s">
        <v>89</v>
      </c>
      <c r="D77" s="317"/>
      <c r="E77" s="105"/>
      <c r="F77" s="104"/>
      <c r="G77" s="104"/>
      <c r="H77" s="105"/>
      <c r="I77" s="195"/>
      <c r="J77" s="304"/>
      <c r="K77" s="310" t="str">
        <f t="shared" si="16"/>
        <v/>
      </c>
    </row>
    <row r="78" spans="2:17">
      <c r="B78" s="93" t="s">
        <v>90</v>
      </c>
      <c r="C78" s="94" t="s">
        <v>122</v>
      </c>
      <c r="D78" s="170"/>
      <c r="E78" s="19"/>
      <c r="F78" s="170">
        <v>409</v>
      </c>
      <c r="G78" s="18"/>
      <c r="H78" s="19"/>
      <c r="I78" s="193"/>
      <c r="J78" s="205">
        <f>D78*$P$17+F78*$P$19+G78*$P$20+H78*$P$21+I78*$P$23</f>
        <v>409</v>
      </c>
      <c r="K78" s="308">
        <f t="shared" si="16"/>
        <v>2.7454698405103541E-2</v>
      </c>
    </row>
    <row r="79" spans="2:17">
      <c r="B79" s="93" t="s">
        <v>91</v>
      </c>
      <c r="C79" s="76" t="s">
        <v>124</v>
      </c>
      <c r="D79" s="171"/>
      <c r="E79" s="96"/>
      <c r="F79" s="171">
        <v>182</v>
      </c>
      <c r="G79" s="95"/>
      <c r="H79" s="96"/>
      <c r="I79" s="196"/>
      <c r="J79" s="305">
        <f>D79*$P$17+F79*$P$19+G79*$P$20+H79*$P$21+I79*$P$23</f>
        <v>182</v>
      </c>
      <c r="K79" s="311">
        <f t="shared" si="16"/>
        <v>1.2217005158261234E-2</v>
      </c>
    </row>
    <row r="80" spans="2:17">
      <c r="B80" s="93" t="s">
        <v>92</v>
      </c>
      <c r="C80" s="76" t="s">
        <v>195</v>
      </c>
      <c r="D80" s="171"/>
      <c r="E80" s="96"/>
      <c r="F80" s="171">
        <v>1203</v>
      </c>
      <c r="G80" s="95"/>
      <c r="H80" s="96"/>
      <c r="I80" s="196"/>
      <c r="J80" s="205">
        <f>D80*$P$17+F80*$P$19+G80*$P$20+H80*$P$21+I80*$P$23</f>
        <v>1203</v>
      </c>
      <c r="K80" s="311">
        <f t="shared" si="16"/>
        <v>8.0753061568067386E-2</v>
      </c>
    </row>
    <row r="81" spans="2:12">
      <c r="B81" s="93" t="s">
        <v>93</v>
      </c>
      <c r="C81" s="76" t="s">
        <v>194</v>
      </c>
      <c r="D81" s="342"/>
      <c r="E81" s="203"/>
      <c r="F81" s="204"/>
      <c r="G81" s="202">
        <v>3535</v>
      </c>
      <c r="H81" s="203"/>
      <c r="I81" s="203"/>
      <c r="J81" s="306"/>
      <c r="K81" s="312"/>
      <c r="L81" s="23"/>
    </row>
    <row r="82" spans="2:12">
      <c r="B82" s="93" t="s">
        <v>133</v>
      </c>
      <c r="C82" s="68" t="s">
        <v>94</v>
      </c>
      <c r="D82" s="171"/>
      <c r="E82" s="96"/>
      <c r="F82" s="171">
        <v>10</v>
      </c>
      <c r="G82" s="95"/>
      <c r="H82" s="96"/>
      <c r="I82" s="196"/>
      <c r="J82" s="305">
        <f>D82*$P$17+F82*$P$19+G82*$P$20+H82*$P$21+I82*$P$23</f>
        <v>10</v>
      </c>
      <c r="K82" s="311">
        <f t="shared" ref="K82:K87" si="20">IF(J82&gt;0,J82/J$87,"")</f>
        <v>6.7126401968468311E-4</v>
      </c>
    </row>
    <row r="83" spans="2:12" ht="15" thickBot="1">
      <c r="B83" s="93" t="s">
        <v>140</v>
      </c>
      <c r="C83" s="51" t="s">
        <v>95</v>
      </c>
      <c r="D83" s="120"/>
      <c r="E83" s="41"/>
      <c r="F83" s="343">
        <f>F40*O10/(1-O10)</f>
        <v>66.74747474747474</v>
      </c>
      <c r="G83" s="40"/>
      <c r="H83" s="41"/>
      <c r="I83" s="197"/>
      <c r="J83" s="210">
        <f>D83*$P$17+F83*$P$19+G83*$P$20+H83*$P$21+I83*$P$23</f>
        <v>66.74747474747474</v>
      </c>
      <c r="K83" s="313">
        <f t="shared" si="20"/>
        <v>4.4805178202791777E-3</v>
      </c>
    </row>
    <row r="84" spans="2:12" ht="17" thickBot="1">
      <c r="B84" s="97"/>
      <c r="C84" s="98" t="s">
        <v>96</v>
      </c>
      <c r="D84" s="300">
        <f>SUM(D78:D83)</f>
        <v>0</v>
      </c>
      <c r="E84" s="315"/>
      <c r="F84" s="300">
        <f>SUM(F78:F83)</f>
        <v>1870.7474747474748</v>
      </c>
      <c r="G84" s="300">
        <f>SUM(G78:G83)</f>
        <v>3535</v>
      </c>
      <c r="H84" s="315">
        <f>SUM(H78:H83)</f>
        <v>0</v>
      </c>
      <c r="I84" s="307">
        <f>SUM(I78:I83)</f>
        <v>0</v>
      </c>
      <c r="J84" s="316">
        <f>SUM(J78:J83)</f>
        <v>1870.7474747474748</v>
      </c>
      <c r="K84" s="309">
        <f t="shared" si="20"/>
        <v>0.12557654697139603</v>
      </c>
    </row>
    <row r="85" spans="2:12">
      <c r="B85" s="106" t="s">
        <v>97</v>
      </c>
      <c r="C85" s="107" t="s">
        <v>98</v>
      </c>
      <c r="D85" s="171"/>
      <c r="E85" s="96"/>
      <c r="F85" s="95"/>
      <c r="G85" s="95"/>
      <c r="H85" s="96"/>
      <c r="I85" s="196"/>
      <c r="J85" s="199"/>
      <c r="K85" s="314" t="str">
        <f t="shared" si="20"/>
        <v/>
      </c>
    </row>
    <row r="86" spans="2:12" ht="15" thickBot="1">
      <c r="B86" s="71" t="s">
        <v>99</v>
      </c>
      <c r="C86" s="72" t="s">
        <v>100</v>
      </c>
      <c r="D86" s="172">
        <f>-(D84+D72+D76-D52)</f>
        <v>0</v>
      </c>
      <c r="E86" s="177"/>
      <c r="F86" s="172">
        <f>-(F84+F72+F76-F52)</f>
        <v>97.25252525252472</v>
      </c>
      <c r="G86" s="172">
        <f>-(G84+G72+G76-G52)</f>
        <v>0</v>
      </c>
      <c r="H86" s="177">
        <f>-(H84+H72+H76-H52)</f>
        <v>0</v>
      </c>
      <c r="I86" s="198">
        <f>-(I84+I72+I76-I52)</f>
        <v>2000</v>
      </c>
      <c r="J86" s="200">
        <f>D86*$P$17+F86*$P$19+G86*$P$20+H86*$P$21+I86*$P$23</f>
        <v>116.94452525252473</v>
      </c>
      <c r="K86" s="173">
        <f t="shared" si="20"/>
        <v>7.8500652101126684E-3</v>
      </c>
    </row>
    <row r="87" spans="2:12" ht="17" thickBot="1">
      <c r="B87" s="108"/>
      <c r="C87" s="109" t="s">
        <v>101</v>
      </c>
      <c r="D87" s="174">
        <f>D72+D76+D84+D86</f>
        <v>0</v>
      </c>
      <c r="E87" s="175"/>
      <c r="F87" s="174">
        <f>F72+F76+F84+F86</f>
        <v>5293</v>
      </c>
      <c r="G87" s="174">
        <f>G72+G76+G84+G86</f>
        <v>4602.5</v>
      </c>
      <c r="H87" s="174">
        <f t="shared" ref="H87:I87" si="21">H72+H76+H84+H86</f>
        <v>0</v>
      </c>
      <c r="I87" s="174">
        <f t="shared" si="21"/>
        <v>508000</v>
      </c>
      <c r="J87" s="201">
        <f>D87*$P$17+F87*$P$19+G87*$P$20+H87*$P$21+I87*$P$23</f>
        <v>14897.268</v>
      </c>
      <c r="K87" s="176">
        <f t="shared" si="20"/>
        <v>1</v>
      </c>
    </row>
    <row r="110" spans="6:6">
      <c r="F110" s="145"/>
    </row>
    <row r="111" spans="6:6">
      <c r="F111" s="125"/>
    </row>
    <row r="112" spans="6:6">
      <c r="F112" s="146"/>
    </row>
  </sheetData>
  <mergeCells count="13">
    <mergeCell ref="B7:K7"/>
    <mergeCell ref="J8:K8"/>
    <mergeCell ref="M27:N27"/>
    <mergeCell ref="B8:C8"/>
    <mergeCell ref="B15:C15"/>
    <mergeCell ref="B22:C22"/>
    <mergeCell ref="B24:C24"/>
    <mergeCell ref="B40:C40"/>
    <mergeCell ref="B52:C52"/>
    <mergeCell ref="B62:C62"/>
    <mergeCell ref="M15:Q15"/>
    <mergeCell ref="B61:J61"/>
    <mergeCell ref="J62:K62"/>
  </mergeCells>
  <phoneticPr fontId="19" type="noConversion"/>
  <pageMargins left="0.7" right="0.7" top="0.75" bottom="0.75" header="0.3" footer="0.3"/>
  <pageSetup orientation="portrait" r:id="rId1"/>
  <ignoredErrors>
    <ignoredError sqref="B10:H10 B17:H17 B15:H15 B24:H25 B22:C22 B31:H31 B29:H29 B35:H36 B34:H34 B39:H39 B38:H38 B42:H42 B40:F40 B47:H47 B45:C45 B51:E51 B50:H50 B53:F53 B52:F52 F64:J64 B11:C12 J11 B18 B26:C26 J26 B30:D30 I30 B32:H32 B37 B43 F72:J72 D71 H71:J71 F77:J77 B73 I74:J74 F85:J85 C82:C83 J78:J79 I49 B46:D46 H46 B41:D41 H41 B16:D16 G16:H16 B23:D23 H23 B28 B20 B19 B74 D74 B75 D75 B76:C76 B84:C84 J82:J83 D73 K64 I73 H43 D49:E49 I17:J17 I15 I24:J25 I31:J31 I29 I36:J36 I34 I39 I38 I42:J42 I40 I47:J47 I50 I46 I41 I16 I43 I35 I10:K10 B78 B66 D66 B65 F65:J65 J75 G66:I66 B87:C87 F87 H40 B27 D33:H33 B14 B13 F86 H86 J87 B86:D86 D65 B85:D85 B77:D77 B72:D72 B64:D64 D37:H37" numberStoredAsText="1"/>
    <ignoredError sqref="J15 J29 J34 J50" numberStoredAsText="1" formula="1"/>
    <ignoredError sqref="H52 G53:H53 I52 I53 I51" evalError="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2D6B8-BDC7-4A1A-BA53-BF53BBF12729}">
  <dimension ref="A3:G19"/>
  <sheetViews>
    <sheetView workbookViewId="0">
      <selection activeCell="A4" sqref="A4:F19"/>
    </sheetView>
  </sheetViews>
  <sheetFormatPr baseColWidth="10" defaultColWidth="8.83203125" defaultRowHeight="15"/>
  <cols>
    <col min="1" max="1" width="33.6640625" customWidth="1"/>
    <col min="2" max="2" width="10.5" customWidth="1"/>
    <col min="3" max="3" width="47.5" customWidth="1"/>
    <col min="4" max="4" width="9.5" customWidth="1"/>
    <col min="5" max="5" width="8.83203125" customWidth="1"/>
    <col min="6" max="6" width="8" customWidth="1"/>
  </cols>
  <sheetData>
    <row r="3" spans="1:6" ht="16" thickBot="1"/>
    <row r="4" spans="1:6" ht="35" thickBot="1">
      <c r="A4" s="247" t="s">
        <v>178</v>
      </c>
      <c r="B4" s="245" t="s">
        <v>190</v>
      </c>
      <c r="C4" s="246" t="s">
        <v>177</v>
      </c>
      <c r="D4" s="245" t="s">
        <v>176</v>
      </c>
      <c r="E4" s="245" t="s">
        <v>175</v>
      </c>
      <c r="F4" s="244" t="s">
        <v>174</v>
      </c>
    </row>
    <row r="5" spans="1:6" ht="14.75" customHeight="1">
      <c r="A5" s="243" t="s">
        <v>173</v>
      </c>
      <c r="B5" s="242">
        <v>2550</v>
      </c>
      <c r="C5" s="241" t="s">
        <v>172</v>
      </c>
      <c r="D5" s="240">
        <v>7.4999999999999997E-3</v>
      </c>
      <c r="E5" s="239">
        <f t="shared" ref="E5:E16" si="0">B5*D5</f>
        <v>19.125</v>
      </c>
      <c r="F5" s="238">
        <f t="shared" ref="F5:F16" si="1">E5^2</f>
        <v>365.765625</v>
      </c>
    </row>
    <row r="6" spans="1:6">
      <c r="A6" s="224" t="s">
        <v>171</v>
      </c>
      <c r="B6" s="231">
        <v>2113</v>
      </c>
      <c r="C6" s="223" t="s">
        <v>170</v>
      </c>
      <c r="D6" s="237">
        <v>5.0000000000000001E-3</v>
      </c>
      <c r="E6" s="235">
        <f t="shared" si="0"/>
        <v>10.565</v>
      </c>
      <c r="F6" s="220">
        <f t="shared" si="1"/>
        <v>111.61922499999999</v>
      </c>
    </row>
    <row r="7" spans="1:6">
      <c r="A7" s="224" t="s">
        <v>169</v>
      </c>
      <c r="B7" s="231">
        <v>100</v>
      </c>
      <c r="C7" s="223" t="s">
        <v>168</v>
      </c>
      <c r="D7" s="236">
        <v>0.3</v>
      </c>
      <c r="E7" s="235">
        <f t="shared" si="0"/>
        <v>30</v>
      </c>
      <c r="F7" s="220">
        <f t="shared" si="1"/>
        <v>900</v>
      </c>
    </row>
    <row r="8" spans="1:6">
      <c r="A8" s="224" t="s">
        <v>167</v>
      </c>
      <c r="B8" s="231">
        <v>225</v>
      </c>
      <c r="C8" s="223" t="s">
        <v>161</v>
      </c>
      <c r="D8" s="222">
        <v>0.2</v>
      </c>
      <c r="E8" s="221">
        <f t="shared" si="0"/>
        <v>45</v>
      </c>
      <c r="F8" s="220">
        <f t="shared" si="1"/>
        <v>2025</v>
      </c>
    </row>
    <row r="9" spans="1:6" ht="13.5" customHeight="1">
      <c r="A9" s="224" t="s">
        <v>166</v>
      </c>
      <c r="B9" s="231">
        <v>409</v>
      </c>
      <c r="C9" s="234" t="s">
        <v>165</v>
      </c>
      <c r="D9" s="233">
        <v>1.2500000000000001E-2</v>
      </c>
      <c r="E9" s="221">
        <f t="shared" si="0"/>
        <v>5.1125000000000007</v>
      </c>
      <c r="F9" s="220">
        <f t="shared" si="1"/>
        <v>26.137656250000006</v>
      </c>
    </row>
    <row r="10" spans="1:6">
      <c r="A10" s="224" t="s">
        <v>124</v>
      </c>
      <c r="B10" s="231">
        <v>182</v>
      </c>
      <c r="C10" s="223" t="s">
        <v>158</v>
      </c>
      <c r="D10" s="232">
        <v>5.0000000000000001E-3</v>
      </c>
      <c r="E10" s="221">
        <f t="shared" si="0"/>
        <v>0.91</v>
      </c>
      <c r="F10" s="220">
        <f t="shared" si="1"/>
        <v>0.82810000000000006</v>
      </c>
    </row>
    <row r="11" spans="1:6">
      <c r="A11" s="224" t="s">
        <v>164</v>
      </c>
      <c r="B11" s="231">
        <v>124</v>
      </c>
      <c r="C11" s="223" t="s">
        <v>163</v>
      </c>
      <c r="D11" s="232">
        <v>5.0000000000000001E-3</v>
      </c>
      <c r="E11" s="221">
        <f t="shared" si="0"/>
        <v>0.62</v>
      </c>
      <c r="F11" s="220">
        <f t="shared" si="1"/>
        <v>0.38440000000000002</v>
      </c>
    </row>
    <row r="12" spans="1:6">
      <c r="A12" s="224" t="s">
        <v>162</v>
      </c>
      <c r="B12" s="231">
        <v>40</v>
      </c>
      <c r="C12" s="223" t="s">
        <v>161</v>
      </c>
      <c r="D12" s="222">
        <v>0.15</v>
      </c>
      <c r="E12" s="221">
        <f t="shared" si="0"/>
        <v>6</v>
      </c>
      <c r="F12" s="220">
        <f t="shared" si="1"/>
        <v>36</v>
      </c>
    </row>
    <row r="13" spans="1:6">
      <c r="A13" s="224" t="s">
        <v>123</v>
      </c>
      <c r="B13" s="231">
        <v>596</v>
      </c>
      <c r="C13" s="223" t="s">
        <v>158</v>
      </c>
      <c r="D13" s="232">
        <v>5.0000000000000001E-3</v>
      </c>
      <c r="E13" s="221">
        <f t="shared" si="0"/>
        <v>2.98</v>
      </c>
      <c r="F13" s="220">
        <f t="shared" si="1"/>
        <v>8.8803999999999998</v>
      </c>
    </row>
    <row r="14" spans="1:6">
      <c r="A14" s="224" t="s">
        <v>160</v>
      </c>
      <c r="B14" s="231">
        <v>80</v>
      </c>
      <c r="C14" s="223" t="s">
        <v>159</v>
      </c>
      <c r="D14" s="222">
        <v>0.3</v>
      </c>
      <c r="E14" s="221">
        <f t="shared" si="0"/>
        <v>24</v>
      </c>
      <c r="F14" s="220">
        <f t="shared" si="1"/>
        <v>576</v>
      </c>
    </row>
    <row r="15" spans="1:6">
      <c r="A15" s="224" t="s">
        <v>131</v>
      </c>
      <c r="B15" s="231">
        <v>15</v>
      </c>
      <c r="C15" s="223" t="s">
        <v>158</v>
      </c>
      <c r="D15" s="222">
        <v>0.05</v>
      </c>
      <c r="E15" s="221">
        <f t="shared" si="0"/>
        <v>0.75</v>
      </c>
      <c r="F15" s="220">
        <f t="shared" si="1"/>
        <v>0.5625</v>
      </c>
    </row>
    <row r="16" spans="1:6">
      <c r="A16" s="224" t="s">
        <v>157</v>
      </c>
      <c r="B16" s="231">
        <v>10</v>
      </c>
      <c r="C16" s="223" t="s">
        <v>156</v>
      </c>
      <c r="D16" s="222">
        <v>0.2</v>
      </c>
      <c r="E16" s="221">
        <f t="shared" si="0"/>
        <v>2</v>
      </c>
      <c r="F16" s="220">
        <f t="shared" si="1"/>
        <v>4</v>
      </c>
    </row>
    <row r="17" spans="1:7">
      <c r="A17" s="230"/>
      <c r="B17" s="229">
        <f>SUM(B5:B16)</f>
        <v>6444</v>
      </c>
      <c r="C17" s="228"/>
      <c r="D17" s="227"/>
      <c r="E17" s="226"/>
      <c r="F17" s="225"/>
    </row>
    <row r="18" spans="1:7">
      <c r="A18" s="224" t="s">
        <v>155</v>
      </c>
      <c r="B18" s="221">
        <f>G18*B17/(1-G18)</f>
        <v>65.090909090909093</v>
      </c>
      <c r="C18" s="223" t="s">
        <v>154</v>
      </c>
      <c r="D18" s="222">
        <v>0.5</v>
      </c>
      <c r="E18" s="221">
        <f>B18*D18</f>
        <v>32.545454545454547</v>
      </c>
      <c r="F18" s="220">
        <f>E18^2</f>
        <v>1059.206611570248</v>
      </c>
      <c r="G18" s="219">
        <v>0.01</v>
      </c>
    </row>
    <row r="19" spans="1:7" ht="17" thickBot="1">
      <c r="A19" s="218" t="s">
        <v>153</v>
      </c>
      <c r="B19" s="215">
        <f>B17+B18</f>
        <v>6509.090909090909</v>
      </c>
      <c r="C19" s="217" t="s">
        <v>152</v>
      </c>
      <c r="D19" s="216">
        <f>E19/B19</f>
        <v>1.0986929839987577E-2</v>
      </c>
      <c r="E19" s="215">
        <f>F19^0.5</f>
        <v>71.51492514028277</v>
      </c>
      <c r="F19" s="214">
        <f>SUM(F5:F18)</f>
        <v>5114.3845178202482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A7EA6-A55F-4A2B-9B7F-7556CE7F628F}">
  <dimension ref="A3:E14"/>
  <sheetViews>
    <sheetView workbookViewId="0">
      <selection activeCell="A4" sqref="A4:E14"/>
    </sheetView>
  </sheetViews>
  <sheetFormatPr baseColWidth="10" defaultColWidth="8.83203125" defaultRowHeight="15"/>
  <cols>
    <col min="1" max="1" width="24.1640625" customWidth="1"/>
    <col min="2" max="5" width="10.5" customWidth="1"/>
  </cols>
  <sheetData>
    <row r="3" spans="1:5" ht="16" thickBot="1"/>
    <row r="4" spans="1:5" ht="51" thickBot="1">
      <c r="A4" s="247" t="s">
        <v>178</v>
      </c>
      <c r="B4" s="245" t="s">
        <v>190</v>
      </c>
      <c r="C4" s="275" t="s">
        <v>197</v>
      </c>
      <c r="D4" s="275" t="s">
        <v>198</v>
      </c>
      <c r="E4" s="256" t="s">
        <v>196</v>
      </c>
    </row>
    <row r="5" spans="1:5">
      <c r="A5" s="243" t="s">
        <v>171</v>
      </c>
      <c r="B5" s="242">
        <v>2113</v>
      </c>
      <c r="C5" s="242">
        <v>1163</v>
      </c>
      <c r="D5" s="255">
        <f t="shared" ref="D5:D10" si="0">B5-C5</f>
        <v>950</v>
      </c>
      <c r="E5" s="271">
        <f t="shared" ref="E5:E10" si="1">D5*(B$13-1)</f>
        <v>2375</v>
      </c>
    </row>
    <row r="6" spans="1:5">
      <c r="A6" s="224" t="s">
        <v>169</v>
      </c>
      <c r="B6" s="231">
        <v>100</v>
      </c>
      <c r="C6" s="231">
        <v>40</v>
      </c>
      <c r="D6" s="254">
        <f t="shared" si="0"/>
        <v>60</v>
      </c>
      <c r="E6" s="272">
        <f t="shared" si="1"/>
        <v>150</v>
      </c>
    </row>
    <row r="7" spans="1:5">
      <c r="A7" s="224" t="s">
        <v>167</v>
      </c>
      <c r="B7" s="231">
        <v>225</v>
      </c>
      <c r="C7" s="231">
        <v>65</v>
      </c>
      <c r="D7" s="254">
        <f t="shared" si="0"/>
        <v>160</v>
      </c>
      <c r="E7" s="272">
        <f t="shared" si="1"/>
        <v>400</v>
      </c>
    </row>
    <row r="8" spans="1:5">
      <c r="A8" s="224" t="s">
        <v>179</v>
      </c>
      <c r="B8" s="231">
        <v>80</v>
      </c>
      <c r="C8" s="231">
        <v>20</v>
      </c>
      <c r="D8" s="254">
        <f t="shared" si="0"/>
        <v>60</v>
      </c>
      <c r="E8" s="272">
        <f t="shared" si="1"/>
        <v>150</v>
      </c>
    </row>
    <row r="9" spans="1:5">
      <c r="A9" s="224" t="s">
        <v>201</v>
      </c>
      <c r="B9" s="231">
        <v>80</v>
      </c>
      <c r="C9" s="231"/>
      <c r="D9" s="254">
        <f t="shared" si="0"/>
        <v>80</v>
      </c>
      <c r="E9" s="272">
        <f t="shared" si="1"/>
        <v>200</v>
      </c>
    </row>
    <row r="10" spans="1:5" ht="16" thickBot="1">
      <c r="A10" s="253" t="s">
        <v>131</v>
      </c>
      <c r="B10" s="252">
        <v>8</v>
      </c>
      <c r="C10" s="252">
        <v>3</v>
      </c>
      <c r="D10" s="251">
        <f t="shared" si="0"/>
        <v>5</v>
      </c>
      <c r="E10" s="273">
        <f t="shared" si="1"/>
        <v>12.5</v>
      </c>
    </row>
    <row r="11" spans="1:5" ht="16" thickBot="1">
      <c r="A11" s="250"/>
      <c r="B11" s="249">
        <f>SUM(B5:B10)</f>
        <v>2606</v>
      </c>
      <c r="C11" s="249" t="s">
        <v>199</v>
      </c>
      <c r="D11" s="248">
        <f>SUM(D5:D10)</f>
        <v>1315</v>
      </c>
      <c r="E11" s="274">
        <f>SUM(E5:E10)</f>
        <v>3287.5</v>
      </c>
    </row>
    <row r="13" spans="1:5">
      <c r="A13" s="277" t="s">
        <v>203</v>
      </c>
      <c r="B13" s="127">
        <v>3.5</v>
      </c>
    </row>
    <row r="14" spans="1:5">
      <c r="A14" s="276" t="s">
        <v>202</v>
      </c>
      <c r="B14" t="s">
        <v>200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7B8FC-2FC9-46E9-B81A-B0722E6D798C}">
  <dimension ref="A1:E15"/>
  <sheetViews>
    <sheetView workbookViewId="0">
      <selection sqref="A1:B11"/>
    </sheetView>
  </sheetViews>
  <sheetFormatPr baseColWidth="10" defaultColWidth="8.83203125" defaultRowHeight="15"/>
  <cols>
    <col min="1" max="1" width="33.1640625" customWidth="1"/>
    <col min="2" max="2" width="8.1640625" customWidth="1"/>
    <col min="3" max="6" width="8.83203125" customWidth="1"/>
    <col min="8" max="8" width="8.83203125" customWidth="1"/>
  </cols>
  <sheetData>
    <row r="1" spans="1:5">
      <c r="A1" s="259" t="s">
        <v>189</v>
      </c>
      <c r="B1" s="264"/>
    </row>
    <row r="2" spans="1:5">
      <c r="A2" s="260" t="s">
        <v>188</v>
      </c>
      <c r="B2" s="265">
        <v>321000</v>
      </c>
    </row>
    <row r="3" spans="1:5">
      <c r="A3" s="260" t="s">
        <v>187</v>
      </c>
      <c r="B3" s="265">
        <v>214000</v>
      </c>
    </row>
    <row r="4" spans="1:5" ht="16" thickBot="1">
      <c r="A4" s="261" t="s">
        <v>186</v>
      </c>
      <c r="B4" s="266">
        <f>B2+B3</f>
        <v>535000</v>
      </c>
    </row>
    <row r="5" spans="1:5">
      <c r="A5" s="262" t="s">
        <v>185</v>
      </c>
      <c r="B5" s="267">
        <v>321000</v>
      </c>
    </row>
    <row r="6" spans="1:5">
      <c r="A6" s="260" t="s">
        <v>184</v>
      </c>
      <c r="B6" s="265">
        <v>184000</v>
      </c>
    </row>
    <row r="7" spans="1:5">
      <c r="A7" s="260" t="s">
        <v>183</v>
      </c>
      <c r="B7" s="265">
        <v>1000</v>
      </c>
    </row>
    <row r="8" spans="1:5">
      <c r="A8" s="260" t="s">
        <v>182</v>
      </c>
      <c r="B8" s="265">
        <v>27000</v>
      </c>
    </row>
    <row r="9" spans="1:5" ht="16" thickBot="1">
      <c r="A9" s="261" t="s">
        <v>204</v>
      </c>
      <c r="B9" s="266">
        <f>SUM(B5:B8)</f>
        <v>533000</v>
      </c>
    </row>
    <row r="10" spans="1:5">
      <c r="A10" s="262" t="s">
        <v>181</v>
      </c>
      <c r="B10" s="268">
        <f>B4-B9</f>
        <v>2000</v>
      </c>
    </row>
    <row r="11" spans="1:5" ht="16" thickBot="1">
      <c r="A11" s="263" t="s">
        <v>180</v>
      </c>
      <c r="B11" s="269">
        <f>B10/B4</f>
        <v>3.7383177570093459E-3</v>
      </c>
    </row>
    <row r="12" spans="1:5">
      <c r="C12" s="258"/>
      <c r="D12" s="258"/>
      <c r="E12" s="258"/>
    </row>
    <row r="13" spans="1:5">
      <c r="C13" s="258"/>
      <c r="D13" s="258"/>
      <c r="E13" s="258"/>
    </row>
    <row r="14" spans="1:5">
      <c r="C14" s="258"/>
      <c r="D14" s="258"/>
      <c r="E14" s="258"/>
    </row>
    <row r="15" spans="1:5">
      <c r="C15" s="258"/>
      <c r="D15" s="258"/>
      <c r="E15" s="258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Tabelle Risorse-Impieghi</vt:lpstr>
      <vt:lpstr>prelievi energia elettrica</vt:lpstr>
      <vt:lpstr>calore da ambiente</vt:lpstr>
      <vt:lpstr>carburanti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Dolf Van Hattem</dc:creator>
  <cp:lastModifiedBy>Microsoft Office User</cp:lastModifiedBy>
  <dcterms:created xsi:type="dcterms:W3CDTF">2019-06-07T09:23:01Z</dcterms:created>
  <dcterms:modified xsi:type="dcterms:W3CDTF">2021-07-07T13:24:18Z</dcterms:modified>
</cp:coreProperties>
</file>